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829" firstSheet="51" activeTab="62"/>
  </bookViews>
  <sheets>
    <sheet name="Contents" sheetId="4" r:id="rId1"/>
    <sheet name="Contents 1" sheetId="73" r:id="rId2"/>
    <sheet name="POPULATION PATTERN" sheetId="31" r:id="rId3"/>
    <sheet name="ECONOMIC INDICATOR" sheetId="32" r:id="rId4"/>
    <sheet name="ABBR" sheetId="2" r:id="rId5"/>
    <sheet name="BR Network" sheetId="3" r:id="rId6"/>
    <sheet name="State Achievement" sheetId="33" r:id="rId7"/>
    <sheet name="Profile" sheetId="43" r:id="rId8"/>
    <sheet name="Profile 1" sheetId="45" r:id="rId9"/>
    <sheet name="DIST CDR March" sheetId="46" r:id="rId10"/>
    <sheet name="BUSINESS 1" sheetId="47" r:id="rId11"/>
    <sheet name="Segr of Adv 1" sheetId="48" r:id="rId12"/>
    <sheet name="TOTAL PRIORITY 1" sheetId="49" r:id="rId13"/>
    <sheet name="CROP 1" sheetId="50" r:id="rId14"/>
    <sheet name="AGRI-SUB 1" sheetId="51" r:id="rId15"/>
    <sheet name="AGRI 1" sheetId="52" r:id="rId16"/>
    <sheet name="INDSTRY 1" sheetId="53" r:id="rId17"/>
    <sheet name="SERV 1" sheetId="54" r:id="rId18"/>
    <sheet name="Sensitive 1" sheetId="55" r:id="rId19"/>
    <sheet name="Minority 1" sheetId="56" r:id="rId20"/>
    <sheet name="KCC 1" sheetId="57" r:id="rId21"/>
    <sheet name="MSME 1" sheetId="58" r:id="rId22"/>
    <sheet name="Housing 1" sheetId="59" r:id="rId23"/>
    <sheet name="Education 1" sheetId="60" r:id="rId24"/>
    <sheet name="TR-OP 1" sheetId="61" r:id="rId25"/>
    <sheet name="Tea 1" sheetId="62" r:id="rId26"/>
    <sheet name="SHG 1" sheetId="63" r:id="rId27"/>
    <sheet name="NOFRILL-GCC 1" sheetId="64" r:id="rId28"/>
    <sheet name="PMEGP 1" sheetId="65" r:id="rId29"/>
    <sheet name="PMEGP-KVIC REC 1" sheetId="66" r:id="rId30"/>
    <sheet name="WCC 1" sheetId="67" r:id="rId31"/>
    <sheet name="SJSRY 1" sheetId="68" r:id="rId32"/>
    <sheet name="SGSY-SJSRY REC 1" sheetId="69" r:id="rId33"/>
    <sheet name="OTS-JRD 1" sheetId="70" r:id="rId34"/>
    <sheet name="Bakijai 1" sheetId="71" r:id="rId35"/>
    <sheet name="ACP 1" sheetId="72" r:id="rId36"/>
    <sheet name="DIST CDR" sheetId="1" r:id="rId37"/>
    <sheet name="Business" sheetId="5" r:id="rId38"/>
    <sheet name="SEGR of ADV" sheetId="6" r:id="rId39"/>
    <sheet name="TOTAL Priority" sheetId="7" r:id="rId40"/>
    <sheet name="CROP LOAN" sheetId="8" r:id="rId41"/>
    <sheet name="AGRI-SUB" sheetId="9" r:id="rId42"/>
    <sheet name="AGRI" sheetId="10" r:id="rId43"/>
    <sheet name="INDSTRY" sheetId="11" r:id="rId44"/>
    <sheet name="SERV" sheetId="12" r:id="rId45"/>
    <sheet name="Sensitive" sheetId="27" r:id="rId46"/>
    <sheet name="Minority" sheetId="26" r:id="rId47"/>
    <sheet name="KCC" sheetId="15" r:id="rId48"/>
    <sheet name="MSME" sheetId="24" r:id="rId49"/>
    <sheet name="Housing" sheetId="22" r:id="rId50"/>
    <sheet name="EDUCATION" sheetId="23" r:id="rId51"/>
    <sheet name="TR-OP" sheetId="21" r:id="rId52"/>
    <sheet name="TEA" sheetId="20" r:id="rId53"/>
    <sheet name="SHG" sheetId="14" r:id="rId54"/>
    <sheet name="NOFRILL-GCC" sheetId="25" r:id="rId55"/>
    <sheet name="PMEGP" sheetId="13" r:id="rId56"/>
    <sheet name="PMEGP-KVIC REC" sheetId="18" r:id="rId57"/>
    <sheet name="WCC" sheetId="16" r:id="rId58"/>
    <sheet name="SJSRY" sheetId="17" r:id="rId59"/>
    <sheet name="SGSY-SJSRY REC" sheetId="19" r:id="rId60"/>
    <sheet name="OTS-JRD" sheetId="29" r:id="rId61"/>
    <sheet name="Bakijai" sheetId="28" r:id="rId62"/>
    <sheet name="PERFORMANCE UNDER ACP" sheetId="42" r:id="rId63"/>
  </sheets>
  <externalReferences>
    <externalReference r:id="rId64"/>
    <externalReference r:id="rId65"/>
  </externalReferences>
  <calcPr calcId="124519"/>
</workbook>
</file>

<file path=xl/calcChain.xml><?xml version="1.0" encoding="utf-8"?>
<calcChain xmlns="http://schemas.openxmlformats.org/spreadsheetml/2006/main">
  <c r="P324" i="42"/>
  <c r="G324"/>
  <c r="G118"/>
  <c r="P118" s="1"/>
  <c r="H118"/>
  <c r="B301"/>
  <c r="E90"/>
  <c r="E93" s="1"/>
  <c r="G282" i="1"/>
  <c r="G276"/>
  <c r="G277"/>
  <c r="G278"/>
  <c r="G279"/>
  <c r="G280"/>
  <c r="G281"/>
  <c r="G283"/>
  <c r="G284"/>
  <c r="G285"/>
  <c r="G286"/>
  <c r="G287"/>
  <c r="G288"/>
  <c r="G289"/>
  <c r="G290"/>
  <c r="G291"/>
  <c r="G274"/>
  <c r="G275"/>
  <c r="E274"/>
  <c r="F274"/>
  <c r="D274"/>
  <c r="E293"/>
  <c r="F293"/>
  <c r="F297"/>
  <c r="F296"/>
  <c r="F197" i="46"/>
  <c r="F198"/>
  <c r="F199"/>
  <c r="F200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73"/>
  <c r="L241" i="42"/>
  <c r="L243"/>
  <c r="O240"/>
  <c r="O241"/>
  <c r="O243"/>
  <c r="D244"/>
  <c r="D242"/>
  <c r="E242"/>
  <c r="E244" s="1"/>
  <c r="F242"/>
  <c r="F244" s="1"/>
  <c r="J242"/>
  <c r="J244" s="1"/>
  <c r="J276" s="1"/>
  <c r="K242"/>
  <c r="K244" s="1"/>
  <c r="M242"/>
  <c r="M244" s="1"/>
  <c r="N242"/>
  <c r="Q239"/>
  <c r="H238"/>
  <c r="Q238" s="1"/>
  <c r="H239"/>
  <c r="H240"/>
  <c r="Q240" s="1"/>
  <c r="H241"/>
  <c r="H243"/>
  <c r="I243" s="1"/>
  <c r="G238"/>
  <c r="P238" s="1"/>
  <c r="G239"/>
  <c r="P239" s="1"/>
  <c r="G240"/>
  <c r="P240" s="1"/>
  <c r="G241"/>
  <c r="G243"/>
  <c r="Q226"/>
  <c r="H225"/>
  <c r="Q225" s="1"/>
  <c r="H226"/>
  <c r="H227"/>
  <c r="Q227" s="1"/>
  <c r="H228"/>
  <c r="Q228" s="1"/>
  <c r="H230"/>
  <c r="I230" s="1"/>
  <c r="G225"/>
  <c r="P225" s="1"/>
  <c r="G226"/>
  <c r="P226" s="1"/>
  <c r="G227"/>
  <c r="P227" s="1"/>
  <c r="G228"/>
  <c r="P228" s="1"/>
  <c r="G230"/>
  <c r="P230" s="1"/>
  <c r="H215"/>
  <c r="Q215" s="1"/>
  <c r="H217"/>
  <c r="Q217" s="1"/>
  <c r="G215"/>
  <c r="P215" s="1"/>
  <c r="G217"/>
  <c r="P217" s="1"/>
  <c r="Q179"/>
  <c r="H178"/>
  <c r="Q178" s="1"/>
  <c r="H179"/>
  <c r="H180"/>
  <c r="Q180" s="1"/>
  <c r="H181"/>
  <c r="Q181" s="1"/>
  <c r="H182"/>
  <c r="H184"/>
  <c r="Q184" s="1"/>
  <c r="H185"/>
  <c r="Q185" s="1"/>
  <c r="H186"/>
  <c r="H187"/>
  <c r="Q187" s="1"/>
  <c r="H188"/>
  <c r="Q188" s="1"/>
  <c r="H189"/>
  <c r="Q189" s="1"/>
  <c r="H190"/>
  <c r="H191"/>
  <c r="H311" s="1"/>
  <c r="H192"/>
  <c r="Q192" s="1"/>
  <c r="H193"/>
  <c r="Q193" s="1"/>
  <c r="H194"/>
  <c r="Q194" s="1"/>
  <c r="H195"/>
  <c r="Q195" s="1"/>
  <c r="H196"/>
  <c r="Q196" s="1"/>
  <c r="H197"/>
  <c r="Q197" s="1"/>
  <c r="H198"/>
  <c r="H319" s="1"/>
  <c r="H199"/>
  <c r="Q199" s="1"/>
  <c r="H200"/>
  <c r="Q200" s="1"/>
  <c r="H202"/>
  <c r="Q202" s="1"/>
  <c r="H203"/>
  <c r="Q203" s="1"/>
  <c r="G178"/>
  <c r="P178" s="1"/>
  <c r="G179"/>
  <c r="P179" s="1"/>
  <c r="G180"/>
  <c r="P180" s="1"/>
  <c r="G181"/>
  <c r="P181" s="1"/>
  <c r="G182"/>
  <c r="P182" s="1"/>
  <c r="G183"/>
  <c r="P183" s="1"/>
  <c r="G184"/>
  <c r="P184" s="1"/>
  <c r="G185"/>
  <c r="P185" s="1"/>
  <c r="G186"/>
  <c r="P186" s="1"/>
  <c r="G187"/>
  <c r="P187" s="1"/>
  <c r="G188"/>
  <c r="P188" s="1"/>
  <c r="G189"/>
  <c r="P189" s="1"/>
  <c r="G190"/>
  <c r="P190" s="1"/>
  <c r="G191"/>
  <c r="P191" s="1"/>
  <c r="G192"/>
  <c r="P192" s="1"/>
  <c r="G193"/>
  <c r="P193" s="1"/>
  <c r="G194"/>
  <c r="P194" s="1"/>
  <c r="G195"/>
  <c r="P195" s="1"/>
  <c r="G196"/>
  <c r="P196" s="1"/>
  <c r="G197"/>
  <c r="P197" s="1"/>
  <c r="G198"/>
  <c r="P198" s="1"/>
  <c r="G199"/>
  <c r="P199" s="1"/>
  <c r="G200"/>
  <c r="P200" s="1"/>
  <c r="G202"/>
  <c r="P202" s="1"/>
  <c r="G203"/>
  <c r="P203" s="1"/>
  <c r="H162"/>
  <c r="G162"/>
  <c r="P162" s="1"/>
  <c r="H153"/>
  <c r="Q153" s="1"/>
  <c r="G153"/>
  <c r="P153" s="1"/>
  <c r="L134"/>
  <c r="L136"/>
  <c r="O136"/>
  <c r="H132"/>
  <c r="H133"/>
  <c r="Q133" s="1"/>
  <c r="H134"/>
  <c r="Q134" s="1"/>
  <c r="H136"/>
  <c r="Q136" s="1"/>
  <c r="G132"/>
  <c r="P132" s="1"/>
  <c r="G133"/>
  <c r="P133" s="1"/>
  <c r="G134"/>
  <c r="P134" s="1"/>
  <c r="G136"/>
  <c r="P136" s="1"/>
  <c r="D135"/>
  <c r="D137" s="1"/>
  <c r="E135"/>
  <c r="E137" s="1"/>
  <c r="E268" s="1"/>
  <c r="F135"/>
  <c r="F137" s="1"/>
  <c r="F268" s="1"/>
  <c r="J135"/>
  <c r="J137" s="1"/>
  <c r="J268" s="1"/>
  <c r="M135"/>
  <c r="M137" s="1"/>
  <c r="N135"/>
  <c r="H120"/>
  <c r="Q120" s="1"/>
  <c r="H121"/>
  <c r="Q121" s="1"/>
  <c r="G120"/>
  <c r="P120" s="1"/>
  <c r="G121"/>
  <c r="P121" s="1"/>
  <c r="C119"/>
  <c r="D119"/>
  <c r="E119"/>
  <c r="F119"/>
  <c r="J119"/>
  <c r="J122" s="1"/>
  <c r="J267" s="1"/>
  <c r="K119"/>
  <c r="M119"/>
  <c r="M122" s="1"/>
  <c r="M267" s="1"/>
  <c r="N119"/>
  <c r="H107"/>
  <c r="Q107" s="1"/>
  <c r="H108"/>
  <c r="Q108" s="1"/>
  <c r="H110"/>
  <c r="Q110" s="1"/>
  <c r="H111"/>
  <c r="Q111" s="1"/>
  <c r="G107"/>
  <c r="P107" s="1"/>
  <c r="G108"/>
  <c r="P108" s="1"/>
  <c r="G110"/>
  <c r="P110" s="1"/>
  <c r="G111"/>
  <c r="P111" s="1"/>
  <c r="H100"/>
  <c r="Q100" s="1"/>
  <c r="G100"/>
  <c r="P100" s="1"/>
  <c r="H91"/>
  <c r="Q91" s="1"/>
  <c r="H92"/>
  <c r="Q92" s="1"/>
  <c r="G91"/>
  <c r="P91" s="1"/>
  <c r="G92"/>
  <c r="P92" s="1"/>
  <c r="G79"/>
  <c r="P79" s="1"/>
  <c r="H66"/>
  <c r="Q66" s="1"/>
  <c r="H67"/>
  <c r="H69"/>
  <c r="Q69" s="1"/>
  <c r="H70"/>
  <c r="Q70" s="1"/>
  <c r="G66"/>
  <c r="P66" s="1"/>
  <c r="G67"/>
  <c r="G69"/>
  <c r="P69" s="1"/>
  <c r="G70"/>
  <c r="P70" s="1"/>
  <c r="H49"/>
  <c r="Q49" s="1"/>
  <c r="H50"/>
  <c r="Q50" s="1"/>
  <c r="H51"/>
  <c r="Q51" s="1"/>
  <c r="H52"/>
  <c r="Q52" s="1"/>
  <c r="H53"/>
  <c r="Q53" s="1"/>
  <c r="H54"/>
  <c r="Q54" s="1"/>
  <c r="H55"/>
  <c r="Q55" s="1"/>
  <c r="H57"/>
  <c r="Q57" s="1"/>
  <c r="H58"/>
  <c r="Q58" s="1"/>
  <c r="G49"/>
  <c r="P49" s="1"/>
  <c r="G50"/>
  <c r="P50" s="1"/>
  <c r="G51"/>
  <c r="P51" s="1"/>
  <c r="G52"/>
  <c r="P52" s="1"/>
  <c r="G53"/>
  <c r="P53" s="1"/>
  <c r="G54"/>
  <c r="P54" s="1"/>
  <c r="G55"/>
  <c r="P55" s="1"/>
  <c r="G56"/>
  <c r="P56" s="1"/>
  <c r="G57"/>
  <c r="P57" s="1"/>
  <c r="G58"/>
  <c r="P58" s="1"/>
  <c r="H34"/>
  <c r="Q34" s="1"/>
  <c r="H36"/>
  <c r="Q36" s="1"/>
  <c r="H37"/>
  <c r="Q37" s="1"/>
  <c r="G34"/>
  <c r="P34" s="1"/>
  <c r="G36"/>
  <c r="P36" s="1"/>
  <c r="G37"/>
  <c r="P37" s="1"/>
  <c r="H27"/>
  <c r="H19"/>
  <c r="Q19" s="1"/>
  <c r="H20"/>
  <c r="Q20" s="1"/>
  <c r="G20"/>
  <c r="P20" s="1"/>
  <c r="H8"/>
  <c r="Q8" s="1"/>
  <c r="H9"/>
  <c r="Q9" s="1"/>
  <c r="H11"/>
  <c r="Q11" s="1"/>
  <c r="H12"/>
  <c r="Q12" s="1"/>
  <c r="G8"/>
  <c r="P8" s="1"/>
  <c r="G9"/>
  <c r="P9" s="1"/>
  <c r="G11"/>
  <c r="P11" s="1"/>
  <c r="G12"/>
  <c r="P12" s="1"/>
  <c r="O108"/>
  <c r="O110"/>
  <c r="O111"/>
  <c r="L108"/>
  <c r="L110"/>
  <c r="L111"/>
  <c r="C109"/>
  <c r="D109"/>
  <c r="D112" s="1"/>
  <c r="D266" s="1"/>
  <c r="E109"/>
  <c r="E112" s="1"/>
  <c r="E266" s="1"/>
  <c r="F109"/>
  <c r="J109"/>
  <c r="K109"/>
  <c r="K112" s="1"/>
  <c r="K266" s="1"/>
  <c r="M109"/>
  <c r="M112" s="1"/>
  <c r="M266" s="1"/>
  <c r="N109"/>
  <c r="N112" s="1"/>
  <c r="N266" s="1"/>
  <c r="B109"/>
  <c r="C90"/>
  <c r="D90"/>
  <c r="D93" s="1"/>
  <c r="D264" s="1"/>
  <c r="F90"/>
  <c r="F93" s="1"/>
  <c r="F264" s="1"/>
  <c r="J90"/>
  <c r="J93" s="1"/>
  <c r="J264" s="1"/>
  <c r="K90"/>
  <c r="K93" s="1"/>
  <c r="K264" s="1"/>
  <c r="M90"/>
  <c r="M93" s="1"/>
  <c r="M264" s="1"/>
  <c r="N90"/>
  <c r="N93" s="1"/>
  <c r="B90"/>
  <c r="D21"/>
  <c r="D258" s="1"/>
  <c r="F21"/>
  <c r="F258" s="1"/>
  <c r="K21"/>
  <c r="K258" s="1"/>
  <c r="N21"/>
  <c r="B21"/>
  <c r="B258" s="1"/>
  <c r="C10"/>
  <c r="D10"/>
  <c r="D13" s="1"/>
  <c r="D257" s="1"/>
  <c r="E10"/>
  <c r="F10"/>
  <c r="J10"/>
  <c r="J13" s="1"/>
  <c r="J257" s="1"/>
  <c r="K10"/>
  <c r="M10"/>
  <c r="N10"/>
  <c r="C301"/>
  <c r="D301"/>
  <c r="E301"/>
  <c r="F301"/>
  <c r="J301"/>
  <c r="K301"/>
  <c r="M301"/>
  <c r="N301"/>
  <c r="D323"/>
  <c r="E323"/>
  <c r="B119"/>
  <c r="B122" s="1"/>
  <c r="B267" s="1"/>
  <c r="C298"/>
  <c r="D298"/>
  <c r="E298"/>
  <c r="F298"/>
  <c r="J298"/>
  <c r="K298"/>
  <c r="M298"/>
  <c r="N298"/>
  <c r="B298"/>
  <c r="D35" i="48"/>
  <c r="C35"/>
  <c r="D32"/>
  <c r="C32"/>
  <c r="D34"/>
  <c r="D31"/>
  <c r="D30"/>
  <c r="D29"/>
  <c r="C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5"/>
  <c r="J323" i="42"/>
  <c r="K323"/>
  <c r="M323"/>
  <c r="N323"/>
  <c r="C323"/>
  <c r="B323"/>
  <c r="B308"/>
  <c r="B317"/>
  <c r="B318"/>
  <c r="B319"/>
  <c r="B320"/>
  <c r="B321"/>
  <c r="B322"/>
  <c r="B300"/>
  <c r="B316"/>
  <c r="B315"/>
  <c r="B314"/>
  <c r="B313"/>
  <c r="B312"/>
  <c r="B311"/>
  <c r="B310"/>
  <c r="B309"/>
  <c r="B307"/>
  <c r="B306"/>
  <c r="B305"/>
  <c r="B304"/>
  <c r="B303"/>
  <c r="B302"/>
  <c r="B299"/>
  <c r="D322"/>
  <c r="E322"/>
  <c r="F322"/>
  <c r="J322"/>
  <c r="K322"/>
  <c r="M322"/>
  <c r="N322"/>
  <c r="D321"/>
  <c r="E321"/>
  <c r="F321"/>
  <c r="H321"/>
  <c r="J321"/>
  <c r="K321"/>
  <c r="M321"/>
  <c r="N321"/>
  <c r="D320"/>
  <c r="E320"/>
  <c r="F320"/>
  <c r="J320"/>
  <c r="K320"/>
  <c r="M320"/>
  <c r="N320"/>
  <c r="D319"/>
  <c r="E319"/>
  <c r="F319"/>
  <c r="J319"/>
  <c r="K319"/>
  <c r="L319" s="1"/>
  <c r="M319"/>
  <c r="N319"/>
  <c r="D318"/>
  <c r="E318"/>
  <c r="F318"/>
  <c r="J318"/>
  <c r="K318"/>
  <c r="M318"/>
  <c r="N318"/>
  <c r="D317"/>
  <c r="E317"/>
  <c r="F317"/>
  <c r="G317"/>
  <c r="J317"/>
  <c r="K317"/>
  <c r="M317"/>
  <c r="N317"/>
  <c r="D316"/>
  <c r="E316"/>
  <c r="F316"/>
  <c r="H316"/>
  <c r="J316"/>
  <c r="K316"/>
  <c r="M316"/>
  <c r="N316"/>
  <c r="D315"/>
  <c r="E315"/>
  <c r="F315"/>
  <c r="J315"/>
  <c r="K315"/>
  <c r="M315"/>
  <c r="N315"/>
  <c r="D314"/>
  <c r="E314"/>
  <c r="F314"/>
  <c r="J314"/>
  <c r="K314"/>
  <c r="L314" s="1"/>
  <c r="M314"/>
  <c r="N314"/>
  <c r="D313"/>
  <c r="E313"/>
  <c r="F313"/>
  <c r="J313"/>
  <c r="K313"/>
  <c r="M313"/>
  <c r="N313"/>
  <c r="D312"/>
  <c r="E312"/>
  <c r="F312"/>
  <c r="H312"/>
  <c r="J312"/>
  <c r="K312"/>
  <c r="L312" s="1"/>
  <c r="M312"/>
  <c r="N312"/>
  <c r="D311"/>
  <c r="E311"/>
  <c r="F311"/>
  <c r="G311"/>
  <c r="J311"/>
  <c r="K311"/>
  <c r="M311"/>
  <c r="N311"/>
  <c r="D310"/>
  <c r="E310"/>
  <c r="F310"/>
  <c r="J310"/>
  <c r="K310"/>
  <c r="M310"/>
  <c r="N310"/>
  <c r="D309"/>
  <c r="E309"/>
  <c r="F309"/>
  <c r="J309"/>
  <c r="K309"/>
  <c r="L309" s="1"/>
  <c r="M309"/>
  <c r="N309"/>
  <c r="D308"/>
  <c r="E308"/>
  <c r="F308"/>
  <c r="G308"/>
  <c r="J308"/>
  <c r="K308"/>
  <c r="L308" s="1"/>
  <c r="M308"/>
  <c r="N308"/>
  <c r="D307"/>
  <c r="E307"/>
  <c r="F307"/>
  <c r="J307"/>
  <c r="K307"/>
  <c r="M307"/>
  <c r="N307"/>
  <c r="D306"/>
  <c r="E306"/>
  <c r="F306"/>
  <c r="J306"/>
  <c r="K306"/>
  <c r="M306"/>
  <c r="N306"/>
  <c r="D305"/>
  <c r="E305"/>
  <c r="F305"/>
  <c r="H305"/>
  <c r="J305"/>
  <c r="K305"/>
  <c r="L305" s="1"/>
  <c r="M305"/>
  <c r="N305"/>
  <c r="D303"/>
  <c r="E303"/>
  <c r="F303"/>
  <c r="J303"/>
  <c r="K303"/>
  <c r="M303"/>
  <c r="N303"/>
  <c r="D302"/>
  <c r="E302"/>
  <c r="F302"/>
  <c r="J302"/>
  <c r="M302"/>
  <c r="N302"/>
  <c r="D300"/>
  <c r="E300"/>
  <c r="F300"/>
  <c r="J300"/>
  <c r="K300"/>
  <c r="M300"/>
  <c r="N300"/>
  <c r="O300" s="1"/>
  <c r="D299"/>
  <c r="E299"/>
  <c r="F299"/>
  <c r="G299"/>
  <c r="H299"/>
  <c r="J299"/>
  <c r="K299"/>
  <c r="M299"/>
  <c r="N299"/>
  <c r="D272"/>
  <c r="F272"/>
  <c r="H272"/>
  <c r="K272"/>
  <c r="N272"/>
  <c r="N258"/>
  <c r="B259"/>
  <c r="B265"/>
  <c r="B266"/>
  <c r="B268"/>
  <c r="B270"/>
  <c r="O230"/>
  <c r="L230"/>
  <c r="O217"/>
  <c r="L217"/>
  <c r="O199"/>
  <c r="O200"/>
  <c r="O202"/>
  <c r="O203"/>
  <c r="L200"/>
  <c r="L202"/>
  <c r="L203"/>
  <c r="I200"/>
  <c r="O162"/>
  <c r="L162"/>
  <c r="O153"/>
  <c r="L153"/>
  <c r="F154"/>
  <c r="F270" s="1"/>
  <c r="K154"/>
  <c r="F145"/>
  <c r="F269" s="1"/>
  <c r="K145"/>
  <c r="K269" s="1"/>
  <c r="N145"/>
  <c r="N269" s="1"/>
  <c r="D268"/>
  <c r="O120"/>
  <c r="O121"/>
  <c r="L121"/>
  <c r="E122"/>
  <c r="E267" s="1"/>
  <c r="J112"/>
  <c r="J266" s="1"/>
  <c r="D101"/>
  <c r="D265" s="1"/>
  <c r="K101"/>
  <c r="K265" s="1"/>
  <c r="O92"/>
  <c r="L92"/>
  <c r="D80"/>
  <c r="D263" s="1"/>
  <c r="F80"/>
  <c r="F263" s="1"/>
  <c r="K80"/>
  <c r="N80"/>
  <c r="N263" s="1"/>
  <c r="O69"/>
  <c r="O70"/>
  <c r="L69"/>
  <c r="L70"/>
  <c r="O57"/>
  <c r="O58"/>
  <c r="L57"/>
  <c r="L58"/>
  <c r="E59"/>
  <c r="E261" s="1"/>
  <c r="J59"/>
  <c r="M59"/>
  <c r="M261" s="1"/>
  <c r="O37"/>
  <c r="L37"/>
  <c r="D28"/>
  <c r="F28"/>
  <c r="F259" s="1"/>
  <c r="K28"/>
  <c r="O12"/>
  <c r="L12"/>
  <c r="I11"/>
  <c r="I12"/>
  <c r="E13"/>
  <c r="E257" s="1"/>
  <c r="K13"/>
  <c r="K257" s="1"/>
  <c r="M13"/>
  <c r="M257" s="1"/>
  <c r="F218" i="46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17"/>
  <c r="D237"/>
  <c r="E237"/>
  <c r="C237"/>
  <c r="D236"/>
  <c r="E236"/>
  <c r="C236"/>
  <c r="P26" i="13"/>
  <c r="G31" i="65"/>
  <c r="M28"/>
  <c r="M31" s="1"/>
  <c r="L28"/>
  <c r="J28"/>
  <c r="I28"/>
  <c r="G28"/>
  <c r="E28"/>
  <c r="E31" s="1"/>
  <c r="D28"/>
  <c r="D31" s="1"/>
  <c r="C28"/>
  <c r="K26"/>
  <c r="E26"/>
  <c r="K25"/>
  <c r="E25"/>
  <c r="E24"/>
  <c r="K23"/>
  <c r="E23"/>
  <c r="E22"/>
  <c r="E21"/>
  <c r="E20"/>
  <c r="E19"/>
  <c r="K18"/>
  <c r="E18"/>
  <c r="E17"/>
  <c r="K16"/>
  <c r="E16"/>
  <c r="K15"/>
  <c r="E15"/>
  <c r="K14"/>
  <c r="E14"/>
  <c r="K13"/>
  <c r="E13"/>
  <c r="E12"/>
  <c r="H11"/>
  <c r="H28" s="1"/>
  <c r="F11"/>
  <c r="F28" s="1"/>
  <c r="F31" s="1"/>
  <c r="E11"/>
  <c r="E10"/>
  <c r="K9"/>
  <c r="E9"/>
  <c r="K8"/>
  <c r="E8"/>
  <c r="E7"/>
  <c r="K6"/>
  <c r="E6"/>
  <c r="K5"/>
  <c r="K28" s="1"/>
  <c r="K31" s="1"/>
  <c r="E5"/>
  <c r="C28" i="13"/>
  <c r="A34" i="73"/>
  <c r="A35"/>
  <c r="A33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4"/>
  <c r="A30" i="4"/>
  <c r="A31"/>
  <c r="A32"/>
  <c r="A33"/>
  <c r="A34"/>
  <c r="A35"/>
  <c r="A36"/>
  <c r="A37"/>
  <c r="A38"/>
  <c r="A39"/>
  <c r="I37" i="42" l="1"/>
  <c r="I199"/>
  <c r="L300"/>
  <c r="G312"/>
  <c r="L315"/>
  <c r="G321"/>
  <c r="G10"/>
  <c r="P10" s="1"/>
  <c r="H302"/>
  <c r="I162"/>
  <c r="I241"/>
  <c r="Q243"/>
  <c r="H109"/>
  <c r="R92"/>
  <c r="G305"/>
  <c r="H306"/>
  <c r="G316"/>
  <c r="I136"/>
  <c r="H318"/>
  <c r="H307"/>
  <c r="O299"/>
  <c r="G302"/>
  <c r="O306"/>
  <c r="O323"/>
  <c r="O135"/>
  <c r="H300"/>
  <c r="Q182"/>
  <c r="I8"/>
  <c r="I203"/>
  <c r="G309"/>
  <c r="O310"/>
  <c r="H310"/>
  <c r="O311"/>
  <c r="G314"/>
  <c r="G315"/>
  <c r="O316"/>
  <c r="G319"/>
  <c r="I319" s="1"/>
  <c r="O320"/>
  <c r="H320"/>
  <c r="O321"/>
  <c r="G119"/>
  <c r="P119" s="1"/>
  <c r="O307"/>
  <c r="O317"/>
  <c r="L301"/>
  <c r="I9"/>
  <c r="F112"/>
  <c r="H112" s="1"/>
  <c r="L303"/>
  <c r="L313"/>
  <c r="L318"/>
  <c r="H10"/>
  <c r="Q10" s="1"/>
  <c r="H119"/>
  <c r="Q119" s="1"/>
  <c r="N137"/>
  <c r="O137" s="1"/>
  <c r="G90"/>
  <c r="P90" s="1"/>
  <c r="P243"/>
  <c r="R243" s="1"/>
  <c r="M276"/>
  <c r="Q190"/>
  <c r="F13"/>
  <c r="F257" s="1"/>
  <c r="G303"/>
  <c r="L307"/>
  <c r="H309"/>
  <c r="I309" s="1"/>
  <c r="L311"/>
  <c r="O315"/>
  <c r="O319"/>
  <c r="L323"/>
  <c r="O109"/>
  <c r="Q191"/>
  <c r="Q230"/>
  <c r="P241"/>
  <c r="O242"/>
  <c r="I70"/>
  <c r="I121"/>
  <c r="M268"/>
  <c r="I153"/>
  <c r="L299"/>
  <c r="G300"/>
  <c r="O302"/>
  <c r="O303"/>
  <c r="H303"/>
  <c r="I303" s="1"/>
  <c r="L306"/>
  <c r="G307"/>
  <c r="O308"/>
  <c r="H308"/>
  <c r="I308" s="1"/>
  <c r="L310"/>
  <c r="O312"/>
  <c r="O314"/>
  <c r="H314"/>
  <c r="I314" s="1"/>
  <c r="L316"/>
  <c r="O318"/>
  <c r="L320"/>
  <c r="G322"/>
  <c r="G323"/>
  <c r="L109"/>
  <c r="G109"/>
  <c r="P109" s="1"/>
  <c r="H313"/>
  <c r="I313" s="1"/>
  <c r="Q162"/>
  <c r="Q186"/>
  <c r="N244"/>
  <c r="O244" s="1"/>
  <c r="Q118"/>
  <c r="Q198"/>
  <c r="N13"/>
  <c r="N257" s="1"/>
  <c r="I217"/>
  <c r="O305"/>
  <c r="O309"/>
  <c r="O313"/>
  <c r="H315"/>
  <c r="L317"/>
  <c r="G318"/>
  <c r="L321"/>
  <c r="O301"/>
  <c r="G301"/>
  <c r="I58"/>
  <c r="I202"/>
  <c r="G306"/>
  <c r="G310"/>
  <c r="I310" s="1"/>
  <c r="I316"/>
  <c r="H317"/>
  <c r="I317" s="1"/>
  <c r="G320"/>
  <c r="H90"/>
  <c r="Q90" s="1"/>
  <c r="Q109"/>
  <c r="K259"/>
  <c r="H93"/>
  <c r="Q93" s="1"/>
  <c r="L244"/>
  <c r="K263"/>
  <c r="D259"/>
  <c r="H28"/>
  <c r="R136"/>
  <c r="R91"/>
  <c r="R134"/>
  <c r="C93"/>
  <c r="G93" s="1"/>
  <c r="G264" s="1"/>
  <c r="I110"/>
  <c r="H135"/>
  <c r="L242"/>
  <c r="O13"/>
  <c r="O266"/>
  <c r="I321"/>
  <c r="O322"/>
  <c r="L298"/>
  <c r="I111"/>
  <c r="O112"/>
  <c r="H21"/>
  <c r="H301"/>
  <c r="G313"/>
  <c r="P67"/>
  <c r="L112"/>
  <c r="Q241"/>
  <c r="R241" s="1"/>
  <c r="K270"/>
  <c r="L266"/>
  <c r="I299"/>
  <c r="I305"/>
  <c r="Q67"/>
  <c r="E264"/>
  <c r="J261"/>
  <c r="O298"/>
  <c r="E276"/>
  <c r="I311"/>
  <c r="I307"/>
  <c r="I312"/>
  <c r="I302"/>
  <c r="I300"/>
  <c r="I318"/>
  <c r="L322"/>
  <c r="L264"/>
  <c r="N264"/>
  <c r="O264" s="1"/>
  <c r="L257"/>
  <c r="L13"/>
  <c r="B333" i="72"/>
  <c r="N332"/>
  <c r="O332" s="1"/>
  <c r="M332"/>
  <c r="K332"/>
  <c r="J332"/>
  <c r="F332"/>
  <c r="E332"/>
  <c r="D332"/>
  <c r="C332"/>
  <c r="O331"/>
  <c r="N331"/>
  <c r="M331"/>
  <c r="L331"/>
  <c r="K331"/>
  <c r="J331"/>
  <c r="F331"/>
  <c r="E331"/>
  <c r="D331"/>
  <c r="C331"/>
  <c r="N330"/>
  <c r="O330" s="1"/>
  <c r="M330"/>
  <c r="K330"/>
  <c r="J330"/>
  <c r="H330"/>
  <c r="F330"/>
  <c r="E330"/>
  <c r="D330"/>
  <c r="C330"/>
  <c r="P329"/>
  <c r="O329"/>
  <c r="N329"/>
  <c r="M329"/>
  <c r="L329"/>
  <c r="K329"/>
  <c r="J329"/>
  <c r="H329"/>
  <c r="G329"/>
  <c r="F329"/>
  <c r="E329"/>
  <c r="D329"/>
  <c r="C329"/>
  <c r="M328"/>
  <c r="O328" s="1"/>
  <c r="K328"/>
  <c r="L328" s="1"/>
  <c r="J328"/>
  <c r="G328"/>
  <c r="F328"/>
  <c r="E328"/>
  <c r="D328"/>
  <c r="C328"/>
  <c r="N327"/>
  <c r="O327" s="1"/>
  <c r="M327"/>
  <c r="K327"/>
  <c r="J327"/>
  <c r="F327"/>
  <c r="E327"/>
  <c r="D327"/>
  <c r="C327"/>
  <c r="O326"/>
  <c r="N326"/>
  <c r="M326"/>
  <c r="K326"/>
  <c r="J326"/>
  <c r="F326"/>
  <c r="E326"/>
  <c r="D326"/>
  <c r="C326"/>
  <c r="Q325"/>
  <c r="O325"/>
  <c r="N325"/>
  <c r="M325"/>
  <c r="K325"/>
  <c r="L325" s="1"/>
  <c r="J325"/>
  <c r="F325"/>
  <c r="E325"/>
  <c r="D325"/>
  <c r="C325"/>
  <c r="N324"/>
  <c r="M324"/>
  <c r="M333" s="1"/>
  <c r="K324"/>
  <c r="L324" s="1"/>
  <c r="J324"/>
  <c r="F324"/>
  <c r="E324"/>
  <c r="D324"/>
  <c r="C324"/>
  <c r="R323"/>
  <c r="Q323"/>
  <c r="M323"/>
  <c r="O323" s="1"/>
  <c r="L323"/>
  <c r="J323"/>
  <c r="G323"/>
  <c r="I323" s="1"/>
  <c r="F323"/>
  <c r="E323"/>
  <c r="D323"/>
  <c r="C323"/>
  <c r="N322"/>
  <c r="O322" s="1"/>
  <c r="M322"/>
  <c r="K322"/>
  <c r="L322" s="1"/>
  <c r="J322"/>
  <c r="H322"/>
  <c r="F322"/>
  <c r="E322"/>
  <c r="D322"/>
  <c r="C322"/>
  <c r="O321"/>
  <c r="N321"/>
  <c r="M321"/>
  <c r="L321"/>
  <c r="K321"/>
  <c r="J321"/>
  <c r="H321"/>
  <c r="F321"/>
  <c r="E321"/>
  <c r="D321"/>
  <c r="C321"/>
  <c r="N320"/>
  <c r="O320" s="1"/>
  <c r="M320"/>
  <c r="K320"/>
  <c r="J320"/>
  <c r="H320"/>
  <c r="F320"/>
  <c r="E320"/>
  <c r="D320"/>
  <c r="C320"/>
  <c r="O319"/>
  <c r="N319"/>
  <c r="M319"/>
  <c r="L319"/>
  <c r="K319"/>
  <c r="J319"/>
  <c r="H319"/>
  <c r="G319"/>
  <c r="F319"/>
  <c r="E319"/>
  <c r="D319"/>
  <c r="C319"/>
  <c r="N318"/>
  <c r="O318" s="1"/>
  <c r="M318"/>
  <c r="K318"/>
  <c r="L318" s="1"/>
  <c r="J318"/>
  <c r="H318"/>
  <c r="F318"/>
  <c r="E318"/>
  <c r="D318"/>
  <c r="C318"/>
  <c r="P317"/>
  <c r="O317"/>
  <c r="N317"/>
  <c r="M317"/>
  <c r="L317"/>
  <c r="K317"/>
  <c r="J317"/>
  <c r="H317"/>
  <c r="G317"/>
  <c r="F317"/>
  <c r="E317"/>
  <c r="D317"/>
  <c r="C317"/>
  <c r="N316"/>
  <c r="O316" s="1"/>
  <c r="M316"/>
  <c r="K316"/>
  <c r="J316"/>
  <c r="H316"/>
  <c r="F316"/>
  <c r="E316"/>
  <c r="D316"/>
  <c r="C316"/>
  <c r="O315"/>
  <c r="N315"/>
  <c r="M315"/>
  <c r="L315"/>
  <c r="K315"/>
  <c r="J315"/>
  <c r="H315"/>
  <c r="G315"/>
  <c r="F315"/>
  <c r="E315"/>
  <c r="D315"/>
  <c r="C315"/>
  <c r="N314"/>
  <c r="O314" s="1"/>
  <c r="M314"/>
  <c r="K314"/>
  <c r="L314" s="1"/>
  <c r="J314"/>
  <c r="H314"/>
  <c r="F314"/>
  <c r="E314"/>
  <c r="D314"/>
  <c r="C314"/>
  <c r="P313"/>
  <c r="O313"/>
  <c r="N313"/>
  <c r="M313"/>
  <c r="L313"/>
  <c r="K313"/>
  <c r="J313"/>
  <c r="H313"/>
  <c r="G313"/>
  <c r="F313"/>
  <c r="E313"/>
  <c r="D313"/>
  <c r="C313"/>
  <c r="N312"/>
  <c r="O312" s="1"/>
  <c r="M312"/>
  <c r="K312"/>
  <c r="L312" s="1"/>
  <c r="J312"/>
  <c r="H312"/>
  <c r="F312"/>
  <c r="E312"/>
  <c r="D312"/>
  <c r="C312"/>
  <c r="O311"/>
  <c r="N311"/>
  <c r="M311"/>
  <c r="K311"/>
  <c r="L311" s="1"/>
  <c r="J311"/>
  <c r="F311"/>
  <c r="E311"/>
  <c r="D311"/>
  <c r="C311"/>
  <c r="N310"/>
  <c r="O310" s="1"/>
  <c r="M310"/>
  <c r="K310"/>
  <c r="J310"/>
  <c r="H310"/>
  <c r="F310"/>
  <c r="E310"/>
  <c r="D310"/>
  <c r="C310"/>
  <c r="P309"/>
  <c r="O309"/>
  <c r="N309"/>
  <c r="M309"/>
  <c r="L309"/>
  <c r="K309"/>
  <c r="J309"/>
  <c r="G309"/>
  <c r="F309"/>
  <c r="F333" s="1"/>
  <c r="E309"/>
  <c r="D309"/>
  <c r="C309"/>
  <c r="N308"/>
  <c r="O308" s="1"/>
  <c r="M308"/>
  <c r="J308"/>
  <c r="L308" s="1"/>
  <c r="G308"/>
  <c r="F308"/>
  <c r="E308"/>
  <c r="D308"/>
  <c r="H308" s="1"/>
  <c r="Q308" s="1"/>
  <c r="R308" s="1"/>
  <c r="C308"/>
  <c r="N307"/>
  <c r="N333" s="1"/>
  <c r="M307"/>
  <c r="K307"/>
  <c r="J307"/>
  <c r="F307"/>
  <c r="E307"/>
  <c r="D307"/>
  <c r="C307"/>
  <c r="C333" s="1"/>
  <c r="H286"/>
  <c r="M285"/>
  <c r="C285"/>
  <c r="M284"/>
  <c r="D284"/>
  <c r="J283"/>
  <c r="E283"/>
  <c r="C283"/>
  <c r="N282"/>
  <c r="O282" s="1"/>
  <c r="K282"/>
  <c r="J282"/>
  <c r="H282"/>
  <c r="F282"/>
  <c r="E282"/>
  <c r="D282"/>
  <c r="C282"/>
  <c r="B282"/>
  <c r="C281"/>
  <c r="K280"/>
  <c r="D280"/>
  <c r="B280"/>
  <c r="N279"/>
  <c r="F279"/>
  <c r="E279"/>
  <c r="K278"/>
  <c r="B278"/>
  <c r="B277"/>
  <c r="D276"/>
  <c r="C276"/>
  <c r="B276"/>
  <c r="K275"/>
  <c r="B275"/>
  <c r="K274"/>
  <c r="B274"/>
  <c r="N273"/>
  <c r="O273" s="1"/>
  <c r="K273"/>
  <c r="L273" s="1"/>
  <c r="J273"/>
  <c r="D273"/>
  <c r="F271"/>
  <c r="E271"/>
  <c r="B270"/>
  <c r="N269"/>
  <c r="B269"/>
  <c r="O268"/>
  <c r="N268"/>
  <c r="K268"/>
  <c r="B268"/>
  <c r="F267"/>
  <c r="N252"/>
  <c r="J252"/>
  <c r="J286" s="1"/>
  <c r="D252"/>
  <c r="D286" s="1"/>
  <c r="R251"/>
  <c r="Q251"/>
  <c r="O251"/>
  <c r="L251"/>
  <c r="I251"/>
  <c r="H251"/>
  <c r="G251"/>
  <c r="P251" s="1"/>
  <c r="N250"/>
  <c r="M250"/>
  <c r="M252" s="1"/>
  <c r="M286" s="1"/>
  <c r="K250"/>
  <c r="J250"/>
  <c r="F250"/>
  <c r="F252" s="1"/>
  <c r="F286" s="1"/>
  <c r="E250"/>
  <c r="E252" s="1"/>
  <c r="D250"/>
  <c r="C250"/>
  <c r="C252" s="1"/>
  <c r="C286" s="1"/>
  <c r="B250"/>
  <c r="B252" s="1"/>
  <c r="B286" s="1"/>
  <c r="O249"/>
  <c r="L249"/>
  <c r="I249"/>
  <c r="H249"/>
  <c r="G249"/>
  <c r="P249" s="1"/>
  <c r="R249" s="1"/>
  <c r="Q248"/>
  <c r="R248" s="1"/>
  <c r="O248"/>
  <c r="L248"/>
  <c r="I248"/>
  <c r="H248"/>
  <c r="G248"/>
  <c r="P248" s="1"/>
  <c r="Q246"/>
  <c r="O246"/>
  <c r="L246"/>
  <c r="H246"/>
  <c r="G246"/>
  <c r="Q245"/>
  <c r="O245"/>
  <c r="L245"/>
  <c r="H245"/>
  <c r="G245"/>
  <c r="R244"/>
  <c r="Q244"/>
  <c r="O244"/>
  <c r="L244"/>
  <c r="I244"/>
  <c r="H244"/>
  <c r="G244"/>
  <c r="P244" s="1"/>
  <c r="N238"/>
  <c r="N285" s="1"/>
  <c r="O285" s="1"/>
  <c r="M238"/>
  <c r="E238"/>
  <c r="E285" s="1"/>
  <c r="O237"/>
  <c r="L237"/>
  <c r="H237"/>
  <c r="G237"/>
  <c r="P237" s="1"/>
  <c r="O236"/>
  <c r="N236"/>
  <c r="M236"/>
  <c r="L236"/>
  <c r="K236"/>
  <c r="K238" s="1"/>
  <c r="K285" s="1"/>
  <c r="J236"/>
  <c r="J238" s="1"/>
  <c r="F236"/>
  <c r="F238" s="1"/>
  <c r="E236"/>
  <c r="D236"/>
  <c r="D238" s="1"/>
  <c r="D285" s="1"/>
  <c r="C236"/>
  <c r="C238" s="1"/>
  <c r="G238" s="1"/>
  <c r="G285" s="1"/>
  <c r="B236"/>
  <c r="B238" s="1"/>
  <c r="B285" s="1"/>
  <c r="G235"/>
  <c r="P235" s="1"/>
  <c r="Q234"/>
  <c r="O234"/>
  <c r="L234"/>
  <c r="H234"/>
  <c r="G234"/>
  <c r="Q233"/>
  <c r="O233"/>
  <c r="L233"/>
  <c r="H233"/>
  <c r="G233"/>
  <c r="R232"/>
  <c r="Q232"/>
  <c r="O232"/>
  <c r="L232"/>
  <c r="I232"/>
  <c r="H232"/>
  <c r="G232"/>
  <c r="P232" s="1"/>
  <c r="Q231"/>
  <c r="Q236" s="1"/>
  <c r="O231"/>
  <c r="L231"/>
  <c r="I231"/>
  <c r="H231"/>
  <c r="G231"/>
  <c r="P231" s="1"/>
  <c r="M225"/>
  <c r="K225"/>
  <c r="E225"/>
  <c r="O224"/>
  <c r="L224"/>
  <c r="H224"/>
  <c r="G224"/>
  <c r="P224" s="1"/>
  <c r="N223"/>
  <c r="N225" s="1"/>
  <c r="O225" s="1"/>
  <c r="M223"/>
  <c r="K223"/>
  <c r="J223"/>
  <c r="J225" s="1"/>
  <c r="J284" s="1"/>
  <c r="F223"/>
  <c r="F225" s="1"/>
  <c r="E223"/>
  <c r="D223"/>
  <c r="D225" s="1"/>
  <c r="C223"/>
  <c r="G223" s="1"/>
  <c r="B223"/>
  <c r="B225" s="1"/>
  <c r="B284" s="1"/>
  <c r="Q222"/>
  <c r="R222" s="1"/>
  <c r="O222"/>
  <c r="L222"/>
  <c r="I222"/>
  <c r="H222"/>
  <c r="G222"/>
  <c r="P222" s="1"/>
  <c r="P221"/>
  <c r="P223" s="1"/>
  <c r="O221"/>
  <c r="L221"/>
  <c r="H221"/>
  <c r="Q221" s="1"/>
  <c r="R221" s="1"/>
  <c r="G221"/>
  <c r="K210"/>
  <c r="E210"/>
  <c r="G210" s="1"/>
  <c r="G283" s="1"/>
  <c r="D210"/>
  <c r="C210"/>
  <c r="Q209"/>
  <c r="R209" s="1"/>
  <c r="P209"/>
  <c r="O209"/>
  <c r="L209"/>
  <c r="I209"/>
  <c r="H209"/>
  <c r="G209"/>
  <c r="Q208"/>
  <c r="R208" s="1"/>
  <c r="P208"/>
  <c r="O208"/>
  <c r="L208"/>
  <c r="I208"/>
  <c r="H208"/>
  <c r="G208"/>
  <c r="P207"/>
  <c r="N207"/>
  <c r="M207"/>
  <c r="M210" s="1"/>
  <c r="M283" s="1"/>
  <c r="L207"/>
  <c r="K207"/>
  <c r="J207"/>
  <c r="J210" s="1"/>
  <c r="F207"/>
  <c r="F210" s="1"/>
  <c r="F283" s="1"/>
  <c r="E207"/>
  <c r="G207" s="1"/>
  <c r="D207"/>
  <c r="C207"/>
  <c r="B207"/>
  <c r="B210" s="1"/>
  <c r="Q206"/>
  <c r="Q330" s="1"/>
  <c r="O206"/>
  <c r="L206"/>
  <c r="H206"/>
  <c r="G206"/>
  <c r="R205"/>
  <c r="Q205"/>
  <c r="Q329" s="1"/>
  <c r="O205"/>
  <c r="L205"/>
  <c r="I205"/>
  <c r="H205"/>
  <c r="G205"/>
  <c r="P205" s="1"/>
  <c r="R204"/>
  <c r="Q204"/>
  <c r="O204"/>
  <c r="L204"/>
  <c r="I204"/>
  <c r="H204"/>
  <c r="H328" s="1"/>
  <c r="G204"/>
  <c r="P204" s="1"/>
  <c r="P328" s="1"/>
  <c r="Q203"/>
  <c r="O203"/>
  <c r="L203"/>
  <c r="H203"/>
  <c r="G203"/>
  <c r="Q202"/>
  <c r="O202"/>
  <c r="L202"/>
  <c r="H202"/>
  <c r="H325" s="1"/>
  <c r="G202"/>
  <c r="R201"/>
  <c r="Q201"/>
  <c r="Q326" s="1"/>
  <c r="R326" s="1"/>
  <c r="O201"/>
  <c r="L201"/>
  <c r="I201"/>
  <c r="H201"/>
  <c r="H326" s="1"/>
  <c r="G201"/>
  <c r="P201" s="1"/>
  <c r="P326" s="1"/>
  <c r="R200"/>
  <c r="Q200"/>
  <c r="O200"/>
  <c r="L200"/>
  <c r="I200"/>
  <c r="H200"/>
  <c r="G200"/>
  <c r="P200" s="1"/>
  <c r="P323" s="1"/>
  <c r="Q199"/>
  <c r="O199"/>
  <c r="L199"/>
  <c r="H199"/>
  <c r="G199"/>
  <c r="Q198"/>
  <c r="Q321" s="1"/>
  <c r="O198"/>
  <c r="L198"/>
  <c r="H198"/>
  <c r="G198"/>
  <c r="R197"/>
  <c r="Q197"/>
  <c r="Q320" s="1"/>
  <c r="O197"/>
  <c r="L197"/>
  <c r="I197"/>
  <c r="H197"/>
  <c r="G197"/>
  <c r="P197" s="1"/>
  <c r="P320" s="1"/>
  <c r="R320" s="1"/>
  <c r="R196"/>
  <c r="Q196"/>
  <c r="O196"/>
  <c r="L196"/>
  <c r="I196"/>
  <c r="H196"/>
  <c r="G196"/>
  <c r="P196" s="1"/>
  <c r="Q195"/>
  <c r="O195"/>
  <c r="L195"/>
  <c r="H195"/>
  <c r="G195"/>
  <c r="Q194"/>
  <c r="O194"/>
  <c r="L194"/>
  <c r="H194"/>
  <c r="G194"/>
  <c r="R193"/>
  <c r="Q193"/>
  <c r="Q317" s="1"/>
  <c r="R317" s="1"/>
  <c r="O193"/>
  <c r="L193"/>
  <c r="I193"/>
  <c r="H193"/>
  <c r="G193"/>
  <c r="P193" s="1"/>
  <c r="R192"/>
  <c r="Q192"/>
  <c r="Q316" s="1"/>
  <c r="O192"/>
  <c r="L192"/>
  <c r="I192"/>
  <c r="H192"/>
  <c r="G192"/>
  <c r="P192" s="1"/>
  <c r="Q191"/>
  <c r="O191"/>
  <c r="L191"/>
  <c r="H191"/>
  <c r="G191"/>
  <c r="Q190"/>
  <c r="Q314" s="1"/>
  <c r="O190"/>
  <c r="L190"/>
  <c r="H190"/>
  <c r="G190"/>
  <c r="R189"/>
  <c r="Q189"/>
  <c r="Q313" s="1"/>
  <c r="O189"/>
  <c r="L189"/>
  <c r="I189"/>
  <c r="H189"/>
  <c r="G189"/>
  <c r="P189" s="1"/>
  <c r="R188"/>
  <c r="Q188"/>
  <c r="O188"/>
  <c r="L188"/>
  <c r="I188"/>
  <c r="H188"/>
  <c r="G188"/>
  <c r="P188" s="1"/>
  <c r="Q187"/>
  <c r="O187"/>
  <c r="L187"/>
  <c r="H187"/>
  <c r="G187"/>
  <c r="Q186"/>
  <c r="O186"/>
  <c r="L186"/>
  <c r="H186"/>
  <c r="G186"/>
  <c r="G311" s="1"/>
  <c r="R185"/>
  <c r="Q185"/>
  <c r="O185"/>
  <c r="L185"/>
  <c r="I185"/>
  <c r="H185"/>
  <c r="G185"/>
  <c r="P185" s="1"/>
  <c r="P308" s="1"/>
  <c r="R184"/>
  <c r="Q184"/>
  <c r="O184"/>
  <c r="L184"/>
  <c r="I184"/>
  <c r="H184"/>
  <c r="G184"/>
  <c r="P184" s="1"/>
  <c r="Q183"/>
  <c r="O183"/>
  <c r="L183"/>
  <c r="H183"/>
  <c r="G183"/>
  <c r="Q178"/>
  <c r="O178"/>
  <c r="M178"/>
  <c r="M282" s="1"/>
  <c r="L178"/>
  <c r="J178"/>
  <c r="I178"/>
  <c r="G178"/>
  <c r="E178"/>
  <c r="C178"/>
  <c r="B178"/>
  <c r="R177"/>
  <c r="Q177"/>
  <c r="O177"/>
  <c r="L177"/>
  <c r="I177"/>
  <c r="G177"/>
  <c r="P177" s="1"/>
  <c r="D166"/>
  <c r="D281" s="1"/>
  <c r="Q165"/>
  <c r="R165" s="1"/>
  <c r="O165"/>
  <c r="L165"/>
  <c r="I165"/>
  <c r="H165"/>
  <c r="G165"/>
  <c r="P165" s="1"/>
  <c r="O164"/>
  <c r="N164"/>
  <c r="N166" s="1"/>
  <c r="O166" s="1"/>
  <c r="M164"/>
  <c r="M166" s="1"/>
  <c r="M281" s="1"/>
  <c r="K164"/>
  <c r="J164"/>
  <c r="J166" s="1"/>
  <c r="J281" s="1"/>
  <c r="F164"/>
  <c r="F166" s="1"/>
  <c r="E164"/>
  <c r="G164" s="1"/>
  <c r="D164"/>
  <c r="C164"/>
  <c r="C166" s="1"/>
  <c r="B164"/>
  <c r="B166" s="1"/>
  <c r="B281" s="1"/>
  <c r="O163"/>
  <c r="L163"/>
  <c r="H163"/>
  <c r="G163"/>
  <c r="P163" s="1"/>
  <c r="P164" s="1"/>
  <c r="P166" s="1"/>
  <c r="P281" s="1"/>
  <c r="J157"/>
  <c r="F157"/>
  <c r="F280" s="1"/>
  <c r="C157"/>
  <c r="C280" s="1"/>
  <c r="Q156"/>
  <c r="O156"/>
  <c r="L156"/>
  <c r="H156"/>
  <c r="G156"/>
  <c r="N155"/>
  <c r="M155"/>
  <c r="M157" s="1"/>
  <c r="M280" s="1"/>
  <c r="J155"/>
  <c r="L155" s="1"/>
  <c r="H155"/>
  <c r="E155"/>
  <c r="E157" s="1"/>
  <c r="E280" s="1"/>
  <c r="D155"/>
  <c r="D157" s="1"/>
  <c r="C155"/>
  <c r="P154"/>
  <c r="P155" s="1"/>
  <c r="O154"/>
  <c r="L154"/>
  <c r="H154"/>
  <c r="Q154" s="1"/>
  <c r="R154" s="1"/>
  <c r="G154"/>
  <c r="G155" s="1"/>
  <c r="G157" s="1"/>
  <c r="G280" s="1"/>
  <c r="O148"/>
  <c r="K148"/>
  <c r="K279" s="1"/>
  <c r="F148"/>
  <c r="C148"/>
  <c r="C279" s="1"/>
  <c r="O147"/>
  <c r="M147"/>
  <c r="M148" s="1"/>
  <c r="M279" s="1"/>
  <c r="J147"/>
  <c r="L147" s="1"/>
  <c r="E147"/>
  <c r="E148" s="1"/>
  <c r="D147"/>
  <c r="H147" s="1"/>
  <c r="Q147" s="1"/>
  <c r="C147"/>
  <c r="B147"/>
  <c r="B148" s="1"/>
  <c r="B279" s="1"/>
  <c r="Q146"/>
  <c r="O146"/>
  <c r="L146"/>
  <c r="H146"/>
  <c r="G146"/>
  <c r="N140"/>
  <c r="N278" s="1"/>
  <c r="D140"/>
  <c r="D278" s="1"/>
  <c r="P139"/>
  <c r="O139"/>
  <c r="L139"/>
  <c r="H139"/>
  <c r="Q139" s="1"/>
  <c r="R139" s="1"/>
  <c r="G139"/>
  <c r="N138"/>
  <c r="M138"/>
  <c r="M140" s="1"/>
  <c r="M278" s="1"/>
  <c r="K138"/>
  <c r="J138"/>
  <c r="F138"/>
  <c r="F140" s="1"/>
  <c r="F278" s="1"/>
  <c r="E138"/>
  <c r="D138"/>
  <c r="H138" s="1"/>
  <c r="C138"/>
  <c r="C140" s="1"/>
  <c r="C278" s="1"/>
  <c r="G137"/>
  <c r="P137" s="1"/>
  <c r="O136"/>
  <c r="L136"/>
  <c r="H136"/>
  <c r="G136"/>
  <c r="P136" s="1"/>
  <c r="O135"/>
  <c r="L135"/>
  <c r="H135"/>
  <c r="G135"/>
  <c r="P135" s="1"/>
  <c r="O134"/>
  <c r="L134"/>
  <c r="H134"/>
  <c r="G134"/>
  <c r="P134" s="1"/>
  <c r="O123"/>
  <c r="F123"/>
  <c r="D123"/>
  <c r="D277" s="1"/>
  <c r="O122"/>
  <c r="L122"/>
  <c r="H122"/>
  <c r="G122"/>
  <c r="P122" s="1"/>
  <c r="P123" s="1"/>
  <c r="P277" s="1"/>
  <c r="O121"/>
  <c r="L121"/>
  <c r="H121"/>
  <c r="Q121" s="1"/>
  <c r="G121"/>
  <c r="P121" s="1"/>
  <c r="R121" s="1"/>
  <c r="O120"/>
  <c r="N120"/>
  <c r="N123" s="1"/>
  <c r="N277" s="1"/>
  <c r="O277" s="1"/>
  <c r="M120"/>
  <c r="M123" s="1"/>
  <c r="M277" s="1"/>
  <c r="K120"/>
  <c r="L120" s="1"/>
  <c r="J120"/>
  <c r="J123" s="1"/>
  <c r="J277" s="1"/>
  <c r="H120"/>
  <c r="E120"/>
  <c r="E123" s="1"/>
  <c r="D120"/>
  <c r="C120"/>
  <c r="C123" s="1"/>
  <c r="C277" s="1"/>
  <c r="Q119"/>
  <c r="R119" s="1"/>
  <c r="O119"/>
  <c r="L119"/>
  <c r="I119"/>
  <c r="H119"/>
  <c r="G119"/>
  <c r="P119" s="1"/>
  <c r="P120" s="1"/>
  <c r="N114"/>
  <c r="F114"/>
  <c r="E114"/>
  <c r="C114"/>
  <c r="Q113"/>
  <c r="R113" s="1"/>
  <c r="O113"/>
  <c r="L113"/>
  <c r="I113"/>
  <c r="H113"/>
  <c r="G113"/>
  <c r="P113" s="1"/>
  <c r="Q112"/>
  <c r="R112" s="1"/>
  <c r="O112"/>
  <c r="L112"/>
  <c r="I112"/>
  <c r="H112"/>
  <c r="G112"/>
  <c r="P112" s="1"/>
  <c r="N111"/>
  <c r="M111"/>
  <c r="M114" s="1"/>
  <c r="M276" s="1"/>
  <c r="K111"/>
  <c r="K114" s="1"/>
  <c r="J111"/>
  <c r="J114" s="1"/>
  <c r="J276" s="1"/>
  <c r="G111"/>
  <c r="F111"/>
  <c r="H111" s="1"/>
  <c r="I111" s="1"/>
  <c r="D111"/>
  <c r="D114" s="1"/>
  <c r="C111"/>
  <c r="Q110"/>
  <c r="R110" s="1"/>
  <c r="P110"/>
  <c r="O110"/>
  <c r="L110"/>
  <c r="I110"/>
  <c r="H110"/>
  <c r="G110"/>
  <c r="P109"/>
  <c r="O109"/>
  <c r="L109"/>
  <c r="H109"/>
  <c r="Q109" s="1"/>
  <c r="R109" s="1"/>
  <c r="G109"/>
  <c r="P108"/>
  <c r="O108"/>
  <c r="L108"/>
  <c r="H108"/>
  <c r="Q108" s="1"/>
  <c r="R108" s="1"/>
  <c r="G108"/>
  <c r="N103"/>
  <c r="N275" s="1"/>
  <c r="M103"/>
  <c r="M275" s="1"/>
  <c r="G103"/>
  <c r="G275" s="1"/>
  <c r="E103"/>
  <c r="E275" s="1"/>
  <c r="D103"/>
  <c r="D275" s="1"/>
  <c r="C103"/>
  <c r="C275" s="1"/>
  <c r="O102"/>
  <c r="L102"/>
  <c r="H102"/>
  <c r="G102"/>
  <c r="P102" s="1"/>
  <c r="O101"/>
  <c r="N101"/>
  <c r="M101"/>
  <c r="L101"/>
  <c r="J101"/>
  <c r="J103" s="1"/>
  <c r="J275" s="1"/>
  <c r="L275" s="1"/>
  <c r="G101"/>
  <c r="F101"/>
  <c r="E101"/>
  <c r="C101"/>
  <c r="Q100"/>
  <c r="Q101" s="1"/>
  <c r="O100"/>
  <c r="L100"/>
  <c r="I100"/>
  <c r="H100"/>
  <c r="G100"/>
  <c r="P100" s="1"/>
  <c r="P101" s="1"/>
  <c r="P103" s="1"/>
  <c r="P275" s="1"/>
  <c r="F95"/>
  <c r="F274" s="1"/>
  <c r="E95"/>
  <c r="D95"/>
  <c r="D274" s="1"/>
  <c r="B95"/>
  <c r="Q94"/>
  <c r="R94" s="1"/>
  <c r="O94"/>
  <c r="L94"/>
  <c r="I94"/>
  <c r="H94"/>
  <c r="G94"/>
  <c r="P94" s="1"/>
  <c r="Q93"/>
  <c r="R93" s="1"/>
  <c r="O93"/>
  <c r="L93"/>
  <c r="I93"/>
  <c r="H93"/>
  <c r="G93"/>
  <c r="P93" s="1"/>
  <c r="N92"/>
  <c r="M92"/>
  <c r="M95" s="1"/>
  <c r="M274" s="1"/>
  <c r="J92"/>
  <c r="J95" s="1"/>
  <c r="H92"/>
  <c r="Q92" s="1"/>
  <c r="R92" s="1"/>
  <c r="E92"/>
  <c r="G92" s="1"/>
  <c r="C92"/>
  <c r="C95" s="1"/>
  <c r="C274" s="1"/>
  <c r="O91"/>
  <c r="L91"/>
  <c r="H91"/>
  <c r="Q91" s="1"/>
  <c r="R91" s="1"/>
  <c r="G91"/>
  <c r="P91" s="1"/>
  <c r="P92" s="1"/>
  <c r="O80"/>
  <c r="M80"/>
  <c r="M273" s="1"/>
  <c r="J80"/>
  <c r="L80" s="1"/>
  <c r="H80"/>
  <c r="Q80" s="1"/>
  <c r="R80" s="1"/>
  <c r="F80"/>
  <c r="F273" s="1"/>
  <c r="E80"/>
  <c r="D80"/>
  <c r="B80"/>
  <c r="B273" s="1"/>
  <c r="R79"/>
  <c r="Q79"/>
  <c r="O79"/>
  <c r="L79"/>
  <c r="I79"/>
  <c r="H79"/>
  <c r="G79"/>
  <c r="P79" s="1"/>
  <c r="M78"/>
  <c r="O78" s="1"/>
  <c r="L78"/>
  <c r="J78"/>
  <c r="H78"/>
  <c r="I78" s="1"/>
  <c r="G78"/>
  <c r="E78"/>
  <c r="C78"/>
  <c r="C80" s="1"/>
  <c r="C273" s="1"/>
  <c r="R77"/>
  <c r="Q77"/>
  <c r="O77"/>
  <c r="L77"/>
  <c r="I77"/>
  <c r="H77"/>
  <c r="G77"/>
  <c r="P77" s="1"/>
  <c r="P78" s="1"/>
  <c r="P80" s="1"/>
  <c r="P273" s="1"/>
  <c r="M71"/>
  <c r="M272" s="1"/>
  <c r="E71"/>
  <c r="E272" s="1"/>
  <c r="B71"/>
  <c r="B272" s="1"/>
  <c r="O70"/>
  <c r="L70"/>
  <c r="H70"/>
  <c r="Q70" s="1"/>
  <c r="R70" s="1"/>
  <c r="G70"/>
  <c r="P70" s="1"/>
  <c r="O69"/>
  <c r="L69"/>
  <c r="H69"/>
  <c r="Q69" s="1"/>
  <c r="R69" s="1"/>
  <c r="G69"/>
  <c r="P69" s="1"/>
  <c r="O68"/>
  <c r="N68"/>
  <c r="N71" s="1"/>
  <c r="M68"/>
  <c r="K68"/>
  <c r="J68"/>
  <c r="J71" s="1"/>
  <c r="J272" s="1"/>
  <c r="F68"/>
  <c r="F71" s="1"/>
  <c r="E68"/>
  <c r="D68"/>
  <c r="H68" s="1"/>
  <c r="C68"/>
  <c r="C71" s="1"/>
  <c r="C272" s="1"/>
  <c r="O67"/>
  <c r="L67"/>
  <c r="H67"/>
  <c r="Q67" s="1"/>
  <c r="R67" s="1"/>
  <c r="G67"/>
  <c r="P67" s="1"/>
  <c r="O66"/>
  <c r="L66"/>
  <c r="H66"/>
  <c r="H309" s="1"/>
  <c r="G66"/>
  <c r="P66" s="1"/>
  <c r="O65"/>
  <c r="L65"/>
  <c r="H65"/>
  <c r="Q65" s="1"/>
  <c r="G65"/>
  <c r="P65" s="1"/>
  <c r="P68" s="1"/>
  <c r="P71" s="1"/>
  <c r="P272" s="1"/>
  <c r="N59"/>
  <c r="N271" s="1"/>
  <c r="K59"/>
  <c r="J59"/>
  <c r="J271" s="1"/>
  <c r="F59"/>
  <c r="B59"/>
  <c r="B271" s="1"/>
  <c r="O58"/>
  <c r="L58"/>
  <c r="H58"/>
  <c r="G58"/>
  <c r="P58" s="1"/>
  <c r="O57"/>
  <c r="L57"/>
  <c r="H57"/>
  <c r="G57"/>
  <c r="P57" s="1"/>
  <c r="O56"/>
  <c r="N56"/>
  <c r="M56"/>
  <c r="M59" s="1"/>
  <c r="M271" s="1"/>
  <c r="L56"/>
  <c r="K56"/>
  <c r="J56"/>
  <c r="F56"/>
  <c r="E56"/>
  <c r="E59" s="1"/>
  <c r="G59" s="1"/>
  <c r="G271" s="1"/>
  <c r="D56"/>
  <c r="D59" s="1"/>
  <c r="D271" s="1"/>
  <c r="C56"/>
  <c r="C59" s="1"/>
  <c r="C271" s="1"/>
  <c r="Q55"/>
  <c r="G55"/>
  <c r="P55" s="1"/>
  <c r="O54"/>
  <c r="L54"/>
  <c r="H54"/>
  <c r="Q54" s="1"/>
  <c r="G54"/>
  <c r="P54" s="1"/>
  <c r="R54" s="1"/>
  <c r="O53"/>
  <c r="L53"/>
  <c r="H53"/>
  <c r="Q53" s="1"/>
  <c r="G53"/>
  <c r="P53" s="1"/>
  <c r="R53" s="1"/>
  <c r="O52"/>
  <c r="L52"/>
  <c r="H52"/>
  <c r="Q52" s="1"/>
  <c r="R52" s="1"/>
  <c r="G52"/>
  <c r="P52" s="1"/>
  <c r="O51"/>
  <c r="L51"/>
  <c r="H51"/>
  <c r="Q51" s="1"/>
  <c r="Q318" s="1"/>
  <c r="G51"/>
  <c r="O50"/>
  <c r="L50"/>
  <c r="H50"/>
  <c r="Q50" s="1"/>
  <c r="G50"/>
  <c r="P50" s="1"/>
  <c r="R50" s="1"/>
  <c r="O49"/>
  <c r="L49"/>
  <c r="H49"/>
  <c r="Q49" s="1"/>
  <c r="G49"/>
  <c r="P49" s="1"/>
  <c r="O48"/>
  <c r="L48"/>
  <c r="H48"/>
  <c r="Q48" s="1"/>
  <c r="R48" s="1"/>
  <c r="G48"/>
  <c r="P48" s="1"/>
  <c r="N38"/>
  <c r="N270" s="1"/>
  <c r="K38"/>
  <c r="L38" s="1"/>
  <c r="J38"/>
  <c r="J270" s="1"/>
  <c r="F38"/>
  <c r="F270" s="1"/>
  <c r="B38"/>
  <c r="O37"/>
  <c r="L37"/>
  <c r="H37"/>
  <c r="G37"/>
  <c r="G331" s="1"/>
  <c r="O36"/>
  <c r="L36"/>
  <c r="H36"/>
  <c r="G36"/>
  <c r="P36" s="1"/>
  <c r="O35"/>
  <c r="N35"/>
  <c r="M35"/>
  <c r="M38" s="1"/>
  <c r="M270" s="1"/>
  <c r="L35"/>
  <c r="K35"/>
  <c r="J35"/>
  <c r="G35"/>
  <c r="G38" s="1"/>
  <c r="G270" s="1"/>
  <c r="F35"/>
  <c r="E35"/>
  <c r="E38" s="1"/>
  <c r="E270" s="1"/>
  <c r="D35"/>
  <c r="D38" s="1"/>
  <c r="D270" s="1"/>
  <c r="C35"/>
  <c r="C38" s="1"/>
  <c r="C270" s="1"/>
  <c r="O34"/>
  <c r="L34"/>
  <c r="H34"/>
  <c r="G34"/>
  <c r="P34" s="1"/>
  <c r="O33"/>
  <c r="L33"/>
  <c r="H33"/>
  <c r="G33"/>
  <c r="P33" s="1"/>
  <c r="O28"/>
  <c r="K28"/>
  <c r="J28"/>
  <c r="J269" s="1"/>
  <c r="F28"/>
  <c r="D28"/>
  <c r="D269" s="1"/>
  <c r="O27"/>
  <c r="M27"/>
  <c r="M28" s="1"/>
  <c r="M269" s="1"/>
  <c r="J27"/>
  <c r="L27" s="1"/>
  <c r="H27"/>
  <c r="Q27" s="1"/>
  <c r="E27"/>
  <c r="E28" s="1"/>
  <c r="E269" s="1"/>
  <c r="C27"/>
  <c r="C28" s="1"/>
  <c r="O26"/>
  <c r="L26"/>
  <c r="H26"/>
  <c r="Q26" s="1"/>
  <c r="G26"/>
  <c r="P26" s="1"/>
  <c r="P27" s="1"/>
  <c r="P28" s="1"/>
  <c r="P269" s="1"/>
  <c r="M21"/>
  <c r="M268" s="1"/>
  <c r="F21"/>
  <c r="F268" s="1"/>
  <c r="D21"/>
  <c r="D268" s="1"/>
  <c r="Q20"/>
  <c r="R20" s="1"/>
  <c r="P20"/>
  <c r="O20"/>
  <c r="L20"/>
  <c r="I20"/>
  <c r="H20"/>
  <c r="G20"/>
  <c r="Q19"/>
  <c r="R19" s="1"/>
  <c r="P19"/>
  <c r="P21" s="1"/>
  <c r="P268" s="1"/>
  <c r="M19"/>
  <c r="O19" s="1"/>
  <c r="J19"/>
  <c r="J21" s="1"/>
  <c r="H19"/>
  <c r="E19"/>
  <c r="E21" s="1"/>
  <c r="C19"/>
  <c r="C21" s="1"/>
  <c r="C268" s="1"/>
  <c r="Q18"/>
  <c r="R18" s="1"/>
  <c r="P18"/>
  <c r="O18"/>
  <c r="L18"/>
  <c r="I18"/>
  <c r="H18"/>
  <c r="G18"/>
  <c r="D13"/>
  <c r="D267" s="1"/>
  <c r="R12"/>
  <c r="Q12"/>
  <c r="O12"/>
  <c r="L12"/>
  <c r="I12"/>
  <c r="H12"/>
  <c r="H331" s="1"/>
  <c r="G12"/>
  <c r="P12" s="1"/>
  <c r="Q11"/>
  <c r="O11"/>
  <c r="L11"/>
  <c r="I11"/>
  <c r="H11"/>
  <c r="G11"/>
  <c r="N10"/>
  <c r="M10"/>
  <c r="M13" s="1"/>
  <c r="M267" s="1"/>
  <c r="K10"/>
  <c r="K13" s="1"/>
  <c r="K267" s="1"/>
  <c r="J10"/>
  <c r="J13" s="1"/>
  <c r="J267" s="1"/>
  <c r="F10"/>
  <c r="F13" s="1"/>
  <c r="E10"/>
  <c r="E13" s="1"/>
  <c r="E267" s="1"/>
  <c r="D10"/>
  <c r="C10"/>
  <c r="C13" s="1"/>
  <c r="C267" s="1"/>
  <c r="B10"/>
  <c r="B13" s="1"/>
  <c r="B267" s="1"/>
  <c r="Q9"/>
  <c r="O9"/>
  <c r="L9"/>
  <c r="G9"/>
  <c r="P9" s="1"/>
  <c r="Q8"/>
  <c r="R8" s="1"/>
  <c r="O8"/>
  <c r="L8"/>
  <c r="I8"/>
  <c r="H8"/>
  <c r="G8"/>
  <c r="P8" s="1"/>
  <c r="Q7"/>
  <c r="O7"/>
  <c r="L7"/>
  <c r="I7"/>
  <c r="H7"/>
  <c r="G7"/>
  <c r="G10" s="1"/>
  <c r="G13" s="1"/>
  <c r="G267" s="1"/>
  <c r="J29" i="71"/>
  <c r="I29"/>
  <c r="J28"/>
  <c r="I28"/>
  <c r="H27"/>
  <c r="H30" s="1"/>
  <c r="G27"/>
  <c r="G30" s="1"/>
  <c r="F27"/>
  <c r="F30" s="1"/>
  <c r="E27"/>
  <c r="E30" s="1"/>
  <c r="D27"/>
  <c r="D30" s="1"/>
  <c r="C27"/>
  <c r="C30" s="1"/>
  <c r="J25"/>
  <c r="I25"/>
  <c r="J24"/>
  <c r="I24"/>
  <c r="J23"/>
  <c r="I23"/>
  <c r="J22"/>
  <c r="I22"/>
  <c r="J21"/>
  <c r="I21"/>
  <c r="J20"/>
  <c r="I20"/>
  <c r="J19"/>
  <c r="J27" s="1"/>
  <c r="J30" s="1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I27" s="1"/>
  <c r="I30" s="1"/>
  <c r="K30" i="70"/>
  <c r="E30"/>
  <c r="K27"/>
  <c r="J27"/>
  <c r="J30" s="1"/>
  <c r="I27"/>
  <c r="I30" s="1"/>
  <c r="F27"/>
  <c r="F30" s="1"/>
  <c r="E27"/>
  <c r="D27"/>
  <c r="D30" s="1"/>
  <c r="C27"/>
  <c r="C30" s="1"/>
  <c r="L31" i="69"/>
  <c r="K31"/>
  <c r="F31"/>
  <c r="E31"/>
  <c r="O29"/>
  <c r="N28"/>
  <c r="M28"/>
  <c r="M31" s="1"/>
  <c r="L28"/>
  <c r="K28"/>
  <c r="J28"/>
  <c r="J31" s="1"/>
  <c r="F28"/>
  <c r="E28"/>
  <c r="O27"/>
  <c r="O26"/>
  <c r="H26"/>
  <c r="O25"/>
  <c r="H25"/>
  <c r="O24"/>
  <c r="H24"/>
  <c r="O23"/>
  <c r="H23"/>
  <c r="O22"/>
  <c r="H22"/>
  <c r="O21"/>
  <c r="H21"/>
  <c r="H20"/>
  <c r="O19"/>
  <c r="H19"/>
  <c r="O18"/>
  <c r="H18"/>
  <c r="O17"/>
  <c r="H17"/>
  <c r="O16"/>
  <c r="H16"/>
  <c r="O15"/>
  <c r="H15"/>
  <c r="O14"/>
  <c r="H14"/>
  <c r="O13"/>
  <c r="H13"/>
  <c r="O12"/>
  <c r="H12"/>
  <c r="O11"/>
  <c r="H11"/>
  <c r="O10"/>
  <c r="H10"/>
  <c r="O9"/>
  <c r="H9"/>
  <c r="O8"/>
  <c r="H8"/>
  <c r="O7"/>
  <c r="H7"/>
  <c r="O6"/>
  <c r="O28" s="1"/>
  <c r="O31" s="1"/>
  <c r="H6"/>
  <c r="H28" s="1"/>
  <c r="H31" s="1"/>
  <c r="K27" i="68"/>
  <c r="K30" s="1"/>
  <c r="J27"/>
  <c r="J30" s="1"/>
  <c r="I27"/>
  <c r="I30" s="1"/>
  <c r="H27"/>
  <c r="H30" s="1"/>
  <c r="G27"/>
  <c r="G30" s="1"/>
  <c r="F27"/>
  <c r="F30" s="1"/>
  <c r="E27"/>
  <c r="E30" s="1"/>
  <c r="D27"/>
  <c r="D30" s="1"/>
  <c r="C27"/>
  <c r="S23"/>
  <c r="R23"/>
  <c r="Q23"/>
  <c r="P23"/>
  <c r="K27" i="67"/>
  <c r="K30" s="1"/>
  <c r="J27"/>
  <c r="J30" s="1"/>
  <c r="I27"/>
  <c r="I30" s="1"/>
  <c r="H27"/>
  <c r="H30" s="1"/>
  <c r="G27"/>
  <c r="G30" s="1"/>
  <c r="F27"/>
  <c r="F30" s="1"/>
  <c r="E27"/>
  <c r="E30" s="1"/>
  <c r="D27"/>
  <c r="D30" s="1"/>
  <c r="S23"/>
  <c r="R23"/>
  <c r="Q23"/>
  <c r="P23"/>
  <c r="O23"/>
  <c r="H30" i="66"/>
  <c r="G30"/>
  <c r="H29"/>
  <c r="G29"/>
  <c r="O28"/>
  <c r="O31" s="1"/>
  <c r="N28"/>
  <c r="M28"/>
  <c r="M31" s="1"/>
  <c r="L28"/>
  <c r="L31" s="1"/>
  <c r="K28"/>
  <c r="K31" s="1"/>
  <c r="J28"/>
  <c r="J31" s="1"/>
  <c r="H28"/>
  <c r="H31" s="1"/>
  <c r="F28"/>
  <c r="G28" s="1"/>
  <c r="E28"/>
  <c r="E31" s="1"/>
  <c r="D28"/>
  <c r="D31" s="1"/>
  <c r="C28"/>
  <c r="C31" s="1"/>
  <c r="H25"/>
  <c r="G25"/>
  <c r="O24"/>
  <c r="H24"/>
  <c r="G24"/>
  <c r="H23"/>
  <c r="G23"/>
  <c r="O22"/>
  <c r="H22"/>
  <c r="G22"/>
  <c r="O21"/>
  <c r="H21"/>
  <c r="G21"/>
  <c r="H20"/>
  <c r="G20"/>
  <c r="O19"/>
  <c r="N19"/>
  <c r="G19"/>
  <c r="H18"/>
  <c r="G18"/>
  <c r="H17"/>
  <c r="G17"/>
  <c r="H16"/>
  <c r="G16"/>
  <c r="H15"/>
  <c r="G15"/>
  <c r="H14"/>
  <c r="G14"/>
  <c r="H13"/>
  <c r="G13"/>
  <c r="H12"/>
  <c r="O11"/>
  <c r="H11"/>
  <c r="G11"/>
  <c r="H10"/>
  <c r="G10"/>
  <c r="H9"/>
  <c r="H8"/>
  <c r="G8"/>
  <c r="O7"/>
  <c r="H7"/>
  <c r="G7"/>
  <c r="H6"/>
  <c r="G6"/>
  <c r="H5"/>
  <c r="G5"/>
  <c r="F30" i="64"/>
  <c r="M27"/>
  <c r="M30" s="1"/>
  <c r="L27"/>
  <c r="L30" s="1"/>
  <c r="K27"/>
  <c r="K30" s="1"/>
  <c r="J27"/>
  <c r="J30" s="1"/>
  <c r="G27"/>
  <c r="G30" s="1"/>
  <c r="F27"/>
  <c r="E27"/>
  <c r="E30" s="1"/>
  <c r="D19"/>
  <c r="D27" s="1"/>
  <c r="D30" s="1"/>
  <c r="E3"/>
  <c r="Q34" i="63"/>
  <c r="O34"/>
  <c r="N34"/>
  <c r="K34"/>
  <c r="J34"/>
  <c r="I34"/>
  <c r="G34"/>
  <c r="F34"/>
  <c r="E34"/>
  <c r="C34"/>
  <c r="S33"/>
  <c r="R33"/>
  <c r="M33"/>
  <c r="L33"/>
  <c r="S32"/>
  <c r="R32"/>
  <c r="M32"/>
  <c r="L32"/>
  <c r="Q31"/>
  <c r="P31"/>
  <c r="P34" s="1"/>
  <c r="O31"/>
  <c r="N31"/>
  <c r="L31"/>
  <c r="L34" s="1"/>
  <c r="K31"/>
  <c r="J31"/>
  <c r="I31"/>
  <c r="H31"/>
  <c r="H34" s="1"/>
  <c r="G31"/>
  <c r="F31"/>
  <c r="E31"/>
  <c r="D31"/>
  <c r="D34" s="1"/>
  <c r="C31"/>
  <c r="S29"/>
  <c r="S28"/>
  <c r="R28"/>
  <c r="M28"/>
  <c r="L28"/>
  <c r="S27"/>
  <c r="R27"/>
  <c r="M27"/>
  <c r="L27"/>
  <c r="S26"/>
  <c r="R26"/>
  <c r="M26"/>
  <c r="L26"/>
  <c r="S25"/>
  <c r="R25"/>
  <c r="M25"/>
  <c r="L25"/>
  <c r="R24"/>
  <c r="M24"/>
  <c r="L24"/>
  <c r="S23"/>
  <c r="R23"/>
  <c r="M23"/>
  <c r="L23"/>
  <c r="S22"/>
  <c r="R22"/>
  <c r="M22"/>
  <c r="S21"/>
  <c r="R21"/>
  <c r="M21"/>
  <c r="S20"/>
  <c r="R20"/>
  <c r="M20"/>
  <c r="L20"/>
  <c r="S19"/>
  <c r="R19"/>
  <c r="M19"/>
  <c r="L19"/>
  <c r="S18"/>
  <c r="R18"/>
  <c r="M18"/>
  <c r="L18"/>
  <c r="S17"/>
  <c r="R17"/>
  <c r="M17"/>
  <c r="L17"/>
  <c r="S16"/>
  <c r="R16"/>
  <c r="M16"/>
  <c r="L16"/>
  <c r="S15"/>
  <c r="R15"/>
  <c r="M15"/>
  <c r="L15"/>
  <c r="S14"/>
  <c r="R14"/>
  <c r="M14"/>
  <c r="L14"/>
  <c r="S13"/>
  <c r="R13"/>
  <c r="M13"/>
  <c r="L13"/>
  <c r="S12"/>
  <c r="R12"/>
  <c r="M12"/>
  <c r="L12"/>
  <c r="S11"/>
  <c r="S31" s="1"/>
  <c r="S34" s="1"/>
  <c r="R11"/>
  <c r="R31" s="1"/>
  <c r="R34" s="1"/>
  <c r="S10"/>
  <c r="R10"/>
  <c r="M10"/>
  <c r="L10"/>
  <c r="S9"/>
  <c r="R9"/>
  <c r="M9"/>
  <c r="L9"/>
  <c r="S8"/>
  <c r="R8"/>
  <c r="M8"/>
  <c r="M31" s="1"/>
  <c r="M34" s="1"/>
  <c r="L8"/>
  <c r="G29" i="62"/>
  <c r="G32" s="1"/>
  <c r="F29"/>
  <c r="F32" s="1"/>
  <c r="E29"/>
  <c r="E32" s="1"/>
  <c r="D29"/>
  <c r="D32" s="1"/>
  <c r="J33" i="61"/>
  <c r="I33"/>
  <c r="F32"/>
  <c r="E32"/>
  <c r="J31"/>
  <c r="I31"/>
  <c r="L30"/>
  <c r="I30"/>
  <c r="L29"/>
  <c r="K29"/>
  <c r="K32" s="1"/>
  <c r="L32" s="1"/>
  <c r="H29"/>
  <c r="I29" s="1"/>
  <c r="G29"/>
  <c r="G32" s="1"/>
  <c r="F29"/>
  <c r="E29"/>
  <c r="D29"/>
  <c r="D32" s="1"/>
  <c r="C29"/>
  <c r="C32" s="1"/>
  <c r="J27"/>
  <c r="L26"/>
  <c r="J26"/>
  <c r="I26"/>
  <c r="L25"/>
  <c r="J25"/>
  <c r="I25"/>
  <c r="J24"/>
  <c r="I24"/>
  <c r="L23"/>
  <c r="J23"/>
  <c r="I23"/>
  <c r="J22"/>
  <c r="L21"/>
  <c r="J21"/>
  <c r="I21"/>
  <c r="L20"/>
  <c r="J20"/>
  <c r="I20"/>
  <c r="J19"/>
  <c r="I19"/>
  <c r="L18"/>
  <c r="J18"/>
  <c r="I18"/>
  <c r="L17"/>
  <c r="J17"/>
  <c r="I17"/>
  <c r="J16"/>
  <c r="L15"/>
  <c r="J15"/>
  <c r="I15"/>
  <c r="L14"/>
  <c r="J14"/>
  <c r="I14"/>
  <c r="L13"/>
  <c r="J13"/>
  <c r="I13"/>
  <c r="J12"/>
  <c r="J11"/>
  <c r="L10"/>
  <c r="J10"/>
  <c r="I10"/>
  <c r="L9"/>
  <c r="J9"/>
  <c r="L8"/>
  <c r="J8"/>
  <c r="I8"/>
  <c r="L7"/>
  <c r="J7"/>
  <c r="I7"/>
  <c r="L6"/>
  <c r="J6"/>
  <c r="I6"/>
  <c r="H33" i="60"/>
  <c r="G33"/>
  <c r="D33"/>
  <c r="C33"/>
  <c r="H30"/>
  <c r="G30"/>
  <c r="F30"/>
  <c r="F33" s="1"/>
  <c r="E30"/>
  <c r="E33" s="1"/>
  <c r="D30"/>
  <c r="C30"/>
  <c r="R35" i="59"/>
  <c r="Q35"/>
  <c r="J35"/>
  <c r="M34"/>
  <c r="G34"/>
  <c r="E34"/>
  <c r="I34" s="1"/>
  <c r="D34"/>
  <c r="R33"/>
  <c r="Q33"/>
  <c r="J33"/>
  <c r="I33"/>
  <c r="R32"/>
  <c r="Q32"/>
  <c r="J32"/>
  <c r="I32"/>
  <c r="P31"/>
  <c r="P34" s="1"/>
  <c r="N31"/>
  <c r="N34" s="1"/>
  <c r="M31"/>
  <c r="L31"/>
  <c r="L34" s="1"/>
  <c r="H31"/>
  <c r="H34" s="1"/>
  <c r="G31"/>
  <c r="F31"/>
  <c r="F34" s="1"/>
  <c r="E31"/>
  <c r="I31" s="1"/>
  <c r="R30"/>
  <c r="Q30"/>
  <c r="J30"/>
  <c r="P29"/>
  <c r="O29"/>
  <c r="O31" s="1"/>
  <c r="O34" s="1"/>
  <c r="L29"/>
  <c r="R29" s="1"/>
  <c r="K29"/>
  <c r="K31" s="1"/>
  <c r="J29"/>
  <c r="I29"/>
  <c r="R28"/>
  <c r="Q28"/>
  <c r="J28"/>
  <c r="I28"/>
  <c r="R27"/>
  <c r="Q27"/>
  <c r="J27"/>
  <c r="I27"/>
  <c r="R26"/>
  <c r="Q26"/>
  <c r="J26"/>
  <c r="I26"/>
  <c r="R25"/>
  <c r="Q25"/>
  <c r="J25"/>
  <c r="I25"/>
  <c r="R24"/>
  <c r="Q24"/>
  <c r="J24"/>
  <c r="I24"/>
  <c r="R23"/>
  <c r="Q23"/>
  <c r="J23"/>
  <c r="I23"/>
  <c r="R22"/>
  <c r="Q22"/>
  <c r="J22"/>
  <c r="I22"/>
  <c r="R21"/>
  <c r="Q21"/>
  <c r="J21"/>
  <c r="I21"/>
  <c r="R20"/>
  <c r="Q20"/>
  <c r="J20"/>
  <c r="I20"/>
  <c r="R19"/>
  <c r="Q19"/>
  <c r="J19"/>
  <c r="I19"/>
  <c r="R18"/>
  <c r="Q18"/>
  <c r="J18"/>
  <c r="I18"/>
  <c r="R17"/>
  <c r="Q17"/>
  <c r="J17"/>
  <c r="I17"/>
  <c r="R16"/>
  <c r="Q16"/>
  <c r="J16"/>
  <c r="I16"/>
  <c r="R15"/>
  <c r="Q15"/>
  <c r="J15"/>
  <c r="R14"/>
  <c r="Q14"/>
  <c r="J14"/>
  <c r="I14"/>
  <c r="R13"/>
  <c r="Q13"/>
  <c r="J13"/>
  <c r="I13"/>
  <c r="R12"/>
  <c r="Q12"/>
  <c r="J12"/>
  <c r="I12"/>
  <c r="R11"/>
  <c r="Q11"/>
  <c r="J11"/>
  <c r="I11"/>
  <c r="R10"/>
  <c r="Q10"/>
  <c r="J10"/>
  <c r="I10"/>
  <c r="R9"/>
  <c r="Q9"/>
  <c r="J9"/>
  <c r="I9"/>
  <c r="R8"/>
  <c r="Q8"/>
  <c r="J8"/>
  <c r="I8"/>
  <c r="K34" i="58"/>
  <c r="J34"/>
  <c r="G34"/>
  <c r="F34"/>
  <c r="C34"/>
  <c r="B34"/>
  <c r="O33"/>
  <c r="N33"/>
  <c r="O32"/>
  <c r="N32"/>
  <c r="M31"/>
  <c r="M34" s="1"/>
  <c r="L31"/>
  <c r="L34" s="1"/>
  <c r="K31"/>
  <c r="J31"/>
  <c r="I31"/>
  <c r="I34" s="1"/>
  <c r="H31"/>
  <c r="H34" s="1"/>
  <c r="G31"/>
  <c r="F31"/>
  <c r="E31"/>
  <c r="E34" s="1"/>
  <c r="D31"/>
  <c r="D34" s="1"/>
  <c r="C31"/>
  <c r="B31"/>
  <c r="O30"/>
  <c r="O29"/>
  <c r="N29"/>
  <c r="O28"/>
  <c r="N28"/>
  <c r="O27"/>
  <c r="N27"/>
  <c r="O26"/>
  <c r="N26"/>
  <c r="O25"/>
  <c r="N25"/>
  <c r="O23"/>
  <c r="N23"/>
  <c r="O22"/>
  <c r="N22"/>
  <c r="O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O31" s="1"/>
  <c r="O34" s="1"/>
  <c r="N7"/>
  <c r="N31" s="1"/>
  <c r="N34" s="1"/>
  <c r="G31" i="57"/>
  <c r="F31"/>
  <c r="C31"/>
  <c r="G28"/>
  <c r="F28"/>
  <c r="E28"/>
  <c r="E31" s="1"/>
  <c r="D28"/>
  <c r="D31" s="1"/>
  <c r="C28"/>
  <c r="I31" i="56"/>
  <c r="M30"/>
  <c r="L30"/>
  <c r="M29"/>
  <c r="L29"/>
  <c r="K28"/>
  <c r="K31" s="1"/>
  <c r="J28"/>
  <c r="J31" s="1"/>
  <c r="I28"/>
  <c r="H28"/>
  <c r="H31" s="1"/>
  <c r="G28"/>
  <c r="G31" s="1"/>
  <c r="F28"/>
  <c r="F31" s="1"/>
  <c r="E28"/>
  <c r="E31" s="1"/>
  <c r="D28"/>
  <c r="D31" s="1"/>
  <c r="C28"/>
  <c r="C31" s="1"/>
  <c r="B28"/>
  <c r="B31" s="1"/>
  <c r="M27"/>
  <c r="M28" s="1"/>
  <c r="M31" s="1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L28" s="1"/>
  <c r="L31" s="1"/>
  <c r="M6"/>
  <c r="L6"/>
  <c r="E32" i="55"/>
  <c r="J31"/>
  <c r="I31"/>
  <c r="J30"/>
  <c r="I30"/>
  <c r="H29"/>
  <c r="H32" s="1"/>
  <c r="G29"/>
  <c r="G32" s="1"/>
  <c r="F29"/>
  <c r="F32" s="1"/>
  <c r="E29"/>
  <c r="C29"/>
  <c r="C32" s="1"/>
  <c r="I32" s="1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J29" s="1"/>
  <c r="I16"/>
  <c r="D16"/>
  <c r="D29" s="1"/>
  <c r="D32" s="1"/>
  <c r="J32" s="1"/>
  <c r="J15"/>
  <c r="I15"/>
  <c r="J14"/>
  <c r="I14"/>
  <c r="J13"/>
  <c r="I13"/>
  <c r="J12"/>
  <c r="I12"/>
  <c r="J11"/>
  <c r="I11"/>
  <c r="J10"/>
  <c r="I10"/>
  <c r="J9"/>
  <c r="I9"/>
  <c r="J8"/>
  <c r="I8"/>
  <c r="J7"/>
  <c r="I7"/>
  <c r="I29" s="1"/>
  <c r="L31" i="54"/>
  <c r="D31"/>
  <c r="C31"/>
  <c r="K30"/>
  <c r="H30"/>
  <c r="I30" s="1"/>
  <c r="G30"/>
  <c r="K29"/>
  <c r="I29"/>
  <c r="G29"/>
  <c r="L28"/>
  <c r="J28"/>
  <c r="J31" s="1"/>
  <c r="K31" s="1"/>
  <c r="F28"/>
  <c r="F31" s="1"/>
  <c r="E28"/>
  <c r="E31" s="1"/>
  <c r="D28"/>
  <c r="C28"/>
  <c r="K26"/>
  <c r="I26"/>
  <c r="H26"/>
  <c r="G26"/>
  <c r="K25"/>
  <c r="H25"/>
  <c r="K24"/>
  <c r="H24"/>
  <c r="I24" s="1"/>
  <c r="G24"/>
  <c r="K23"/>
  <c r="H23"/>
  <c r="I23" s="1"/>
  <c r="G23"/>
  <c r="K22"/>
  <c r="H22"/>
  <c r="I22" s="1"/>
  <c r="G22"/>
  <c r="K21"/>
  <c r="H21"/>
  <c r="I21" s="1"/>
  <c r="G21"/>
  <c r="K20"/>
  <c r="H20"/>
  <c r="I20" s="1"/>
  <c r="G20"/>
  <c r="K19"/>
  <c r="H19"/>
  <c r="I19" s="1"/>
  <c r="G19"/>
  <c r="K18"/>
  <c r="H18"/>
  <c r="I18" s="1"/>
  <c r="G18"/>
  <c r="K17"/>
  <c r="H17"/>
  <c r="I17" s="1"/>
  <c r="G17"/>
  <c r="K16"/>
  <c r="H16"/>
  <c r="I16" s="1"/>
  <c r="G16"/>
  <c r="K15"/>
  <c r="H15"/>
  <c r="I15" s="1"/>
  <c r="K14"/>
  <c r="I14"/>
  <c r="H14"/>
  <c r="G14"/>
  <c r="K12"/>
  <c r="I12"/>
  <c r="H12"/>
  <c r="G12"/>
  <c r="K11"/>
  <c r="I11"/>
  <c r="H11"/>
  <c r="G11"/>
  <c r="K10"/>
  <c r="I10"/>
  <c r="H10"/>
  <c r="G10"/>
  <c r="K9"/>
  <c r="I9"/>
  <c r="H9"/>
  <c r="G9"/>
  <c r="K8"/>
  <c r="I8"/>
  <c r="H8"/>
  <c r="G8"/>
  <c r="K7"/>
  <c r="I7"/>
  <c r="H7"/>
  <c r="G7"/>
  <c r="K6"/>
  <c r="H6"/>
  <c r="G6"/>
  <c r="K5"/>
  <c r="I5"/>
  <c r="H5"/>
  <c r="G5"/>
  <c r="J31" i="53"/>
  <c r="K31" s="1"/>
  <c r="F31"/>
  <c r="G31" s="1"/>
  <c r="E31"/>
  <c r="E33" s="1"/>
  <c r="K30"/>
  <c r="I30"/>
  <c r="H30"/>
  <c r="G30"/>
  <c r="K29"/>
  <c r="I29"/>
  <c r="H29"/>
  <c r="G29"/>
  <c r="L28"/>
  <c r="L31" s="1"/>
  <c r="L33" s="1"/>
  <c r="J28"/>
  <c r="H28"/>
  <c r="I28" s="1"/>
  <c r="G28"/>
  <c r="F28"/>
  <c r="E28"/>
  <c r="D28"/>
  <c r="D31" s="1"/>
  <c r="D33" s="1"/>
  <c r="C28"/>
  <c r="C31" s="1"/>
  <c r="C33" s="1"/>
  <c r="H25"/>
  <c r="K24"/>
  <c r="I24"/>
  <c r="H24"/>
  <c r="G24"/>
  <c r="K23"/>
  <c r="I23"/>
  <c r="H23"/>
  <c r="G23"/>
  <c r="K22"/>
  <c r="H22"/>
  <c r="K21"/>
  <c r="I21"/>
  <c r="H21"/>
  <c r="G21"/>
  <c r="K19"/>
  <c r="I19"/>
  <c r="H19"/>
  <c r="G19"/>
  <c r="H18"/>
  <c r="K17"/>
  <c r="H17"/>
  <c r="K16"/>
  <c r="I16"/>
  <c r="H16"/>
  <c r="G16"/>
  <c r="K15"/>
  <c r="I15"/>
  <c r="H15"/>
  <c r="G15"/>
  <c r="H13"/>
  <c r="K12"/>
  <c r="I12"/>
  <c r="H12"/>
  <c r="G12"/>
  <c r="K11"/>
  <c r="I11"/>
  <c r="H11"/>
  <c r="G11"/>
  <c r="K10"/>
  <c r="I10"/>
  <c r="H10"/>
  <c r="G10"/>
  <c r="K8"/>
  <c r="H8"/>
  <c r="K7"/>
  <c r="I7"/>
  <c r="H7"/>
  <c r="G7"/>
  <c r="K6"/>
  <c r="I6"/>
  <c r="H6"/>
  <c r="G6"/>
  <c r="K5"/>
  <c r="I5"/>
  <c r="H5"/>
  <c r="G5"/>
  <c r="A3"/>
  <c r="J33" i="52"/>
  <c r="F33"/>
  <c r="K32"/>
  <c r="H32"/>
  <c r="I32" s="1"/>
  <c r="J31"/>
  <c r="F31"/>
  <c r="C31"/>
  <c r="C33" s="1"/>
  <c r="K30"/>
  <c r="I30"/>
  <c r="H30"/>
  <c r="G30"/>
  <c r="K29"/>
  <c r="I29"/>
  <c r="H29"/>
  <c r="G29"/>
  <c r="L28"/>
  <c r="L31" s="1"/>
  <c r="L33" s="1"/>
  <c r="K28"/>
  <c r="J28"/>
  <c r="F28"/>
  <c r="E28"/>
  <c r="H28" s="1"/>
  <c r="I28" s="1"/>
  <c r="D28"/>
  <c r="D31" s="1"/>
  <c r="C28"/>
  <c r="H25"/>
  <c r="K24"/>
  <c r="H24"/>
  <c r="I24" s="1"/>
  <c r="G24"/>
  <c r="K23"/>
  <c r="H23"/>
  <c r="I23" s="1"/>
  <c r="G23"/>
  <c r="K22"/>
  <c r="H22"/>
  <c r="I22" s="1"/>
  <c r="G22"/>
  <c r="K21"/>
  <c r="H21"/>
  <c r="I21" s="1"/>
  <c r="G21"/>
  <c r="K20"/>
  <c r="H20"/>
  <c r="I20" s="1"/>
  <c r="G20"/>
  <c r="I19"/>
  <c r="H19"/>
  <c r="G19"/>
  <c r="K18"/>
  <c r="I18"/>
  <c r="H18"/>
  <c r="G18"/>
  <c r="K17"/>
  <c r="I17"/>
  <c r="H17"/>
  <c r="G17"/>
  <c r="H16"/>
  <c r="K15"/>
  <c r="H15"/>
  <c r="I15" s="1"/>
  <c r="K14"/>
  <c r="I14"/>
  <c r="H14"/>
  <c r="H13"/>
  <c r="K12"/>
  <c r="I12"/>
  <c r="H12"/>
  <c r="G12"/>
  <c r="K11"/>
  <c r="I11"/>
  <c r="H11"/>
  <c r="G11"/>
  <c r="K10"/>
  <c r="I10"/>
  <c r="H10"/>
  <c r="G10"/>
  <c r="H9"/>
  <c r="K8"/>
  <c r="H8"/>
  <c r="I8" s="1"/>
  <c r="G8"/>
  <c r="K7"/>
  <c r="H7"/>
  <c r="I7" s="1"/>
  <c r="G7"/>
  <c r="K5"/>
  <c r="H5"/>
  <c r="I5" s="1"/>
  <c r="G5"/>
  <c r="Q32" i="51"/>
  <c r="M31"/>
  <c r="M33" s="1"/>
  <c r="I31"/>
  <c r="I33" s="1"/>
  <c r="E31"/>
  <c r="E33" s="1"/>
  <c r="C30"/>
  <c r="Q30" s="1"/>
  <c r="Q29"/>
  <c r="C29"/>
  <c r="P28"/>
  <c r="P31" s="1"/>
  <c r="P33" s="1"/>
  <c r="O28"/>
  <c r="O31" s="1"/>
  <c r="O33" s="1"/>
  <c r="N28"/>
  <c r="N31" s="1"/>
  <c r="N33" s="1"/>
  <c r="M28"/>
  <c r="L28"/>
  <c r="L31" s="1"/>
  <c r="L33" s="1"/>
  <c r="K28"/>
  <c r="K31" s="1"/>
  <c r="K33" s="1"/>
  <c r="J28"/>
  <c r="J31" s="1"/>
  <c r="J33" s="1"/>
  <c r="I28"/>
  <c r="H28"/>
  <c r="H31" s="1"/>
  <c r="H33" s="1"/>
  <c r="G28"/>
  <c r="G31" s="1"/>
  <c r="G33" s="1"/>
  <c r="F28"/>
  <c r="F31" s="1"/>
  <c r="F33" s="1"/>
  <c r="E28"/>
  <c r="D28"/>
  <c r="D31" s="1"/>
  <c r="D33" s="1"/>
  <c r="Q27"/>
  <c r="Q26"/>
  <c r="Q25"/>
  <c r="C25"/>
  <c r="C24"/>
  <c r="Q24" s="1"/>
  <c r="Q23"/>
  <c r="C23"/>
  <c r="C22"/>
  <c r="Q22" s="1"/>
  <c r="C21"/>
  <c r="Q21" s="1"/>
  <c r="C20"/>
  <c r="Q20" s="1"/>
  <c r="Q19"/>
  <c r="C18"/>
  <c r="Q18" s="1"/>
  <c r="Q17"/>
  <c r="C16"/>
  <c r="Q16" s="1"/>
  <c r="Q15"/>
  <c r="C14"/>
  <c r="Q14" s="1"/>
  <c r="Q13"/>
  <c r="C13"/>
  <c r="C12"/>
  <c r="Q12" s="1"/>
  <c r="C11"/>
  <c r="Q11" s="1"/>
  <c r="C10"/>
  <c r="Q10" s="1"/>
  <c r="Q9"/>
  <c r="C9"/>
  <c r="C8"/>
  <c r="Q8" s="1"/>
  <c r="C7"/>
  <c r="Q7" s="1"/>
  <c r="C6"/>
  <c r="Q6" s="1"/>
  <c r="Q5"/>
  <c r="C5"/>
  <c r="L31" i="50"/>
  <c r="D31"/>
  <c r="C31"/>
  <c r="K30"/>
  <c r="H30"/>
  <c r="I30" s="1"/>
  <c r="G30"/>
  <c r="K29"/>
  <c r="H29"/>
  <c r="I29" s="1"/>
  <c r="G29"/>
  <c r="L28"/>
  <c r="J28"/>
  <c r="K28" s="1"/>
  <c r="F28"/>
  <c r="G28" s="1"/>
  <c r="E28"/>
  <c r="E31" s="1"/>
  <c r="D28"/>
  <c r="C28"/>
  <c r="K25"/>
  <c r="H25"/>
  <c r="K24"/>
  <c r="H24"/>
  <c r="I24" s="1"/>
  <c r="G24"/>
  <c r="K23"/>
  <c r="H23"/>
  <c r="I23" s="1"/>
  <c r="G23"/>
  <c r="K22"/>
  <c r="H22"/>
  <c r="I22" s="1"/>
  <c r="G22"/>
  <c r="K21"/>
  <c r="H21"/>
  <c r="I21" s="1"/>
  <c r="G21"/>
  <c r="K20"/>
  <c r="H20"/>
  <c r="I20" s="1"/>
  <c r="G20"/>
  <c r="K19"/>
  <c r="H19"/>
  <c r="I19" s="1"/>
  <c r="G19"/>
  <c r="K18"/>
  <c r="H18"/>
  <c r="I18" s="1"/>
  <c r="G18"/>
  <c r="H17"/>
  <c r="H16"/>
  <c r="H15"/>
  <c r="K14"/>
  <c r="H14"/>
  <c r="H13"/>
  <c r="K12"/>
  <c r="H12"/>
  <c r="K11"/>
  <c r="H11"/>
  <c r="I11" s="1"/>
  <c r="G11"/>
  <c r="K10"/>
  <c r="H10"/>
  <c r="I10" s="1"/>
  <c r="G10"/>
  <c r="K9"/>
  <c r="H9"/>
  <c r="K8"/>
  <c r="I8"/>
  <c r="H8"/>
  <c r="G8"/>
  <c r="K7"/>
  <c r="H7"/>
  <c r="K6"/>
  <c r="H6"/>
  <c r="K5"/>
  <c r="H5"/>
  <c r="J33" i="49"/>
  <c r="H33"/>
  <c r="G33"/>
  <c r="F33"/>
  <c r="E33"/>
  <c r="I32"/>
  <c r="H32"/>
  <c r="G32"/>
  <c r="F31"/>
  <c r="G31" s="1"/>
  <c r="E31"/>
  <c r="D31"/>
  <c r="D34" s="1"/>
  <c r="K30"/>
  <c r="I30"/>
  <c r="H30"/>
  <c r="G30"/>
  <c r="K29"/>
  <c r="I29"/>
  <c r="G29"/>
  <c r="J28"/>
  <c r="K28" s="1"/>
  <c r="G28"/>
  <c r="F28"/>
  <c r="E28"/>
  <c r="H28" s="1"/>
  <c r="D28"/>
  <c r="C28"/>
  <c r="C31" s="1"/>
  <c r="C34" s="1"/>
  <c r="K26"/>
  <c r="I26"/>
  <c r="H26"/>
  <c r="G26"/>
  <c r="L25"/>
  <c r="L28" s="1"/>
  <c r="L31" s="1"/>
  <c r="L34" s="1"/>
  <c r="J25"/>
  <c r="H25"/>
  <c r="K24"/>
  <c r="I24"/>
  <c r="H24"/>
  <c r="G24"/>
  <c r="K23"/>
  <c r="I23"/>
  <c r="H23"/>
  <c r="G23"/>
  <c r="K22"/>
  <c r="I22"/>
  <c r="H22"/>
  <c r="G22"/>
  <c r="K21"/>
  <c r="I21"/>
  <c r="H21"/>
  <c r="G21"/>
  <c r="K20"/>
  <c r="I20"/>
  <c r="H20"/>
  <c r="G20"/>
  <c r="K19"/>
  <c r="I19"/>
  <c r="H19"/>
  <c r="K18"/>
  <c r="I18"/>
  <c r="H18"/>
  <c r="G18"/>
  <c r="K17"/>
  <c r="I17"/>
  <c r="H17"/>
  <c r="K16"/>
  <c r="H16"/>
  <c r="I16" s="1"/>
  <c r="G16"/>
  <c r="K15"/>
  <c r="H15"/>
  <c r="I15" s="1"/>
  <c r="G15"/>
  <c r="K14"/>
  <c r="H14"/>
  <c r="I14" s="1"/>
  <c r="G14"/>
  <c r="K13"/>
  <c r="J13"/>
  <c r="H13"/>
  <c r="K12"/>
  <c r="I12"/>
  <c r="H12"/>
  <c r="G12"/>
  <c r="K11"/>
  <c r="I11"/>
  <c r="H11"/>
  <c r="G11"/>
  <c r="K10"/>
  <c r="I10"/>
  <c r="H10"/>
  <c r="G10"/>
  <c r="K9"/>
  <c r="I9"/>
  <c r="H9"/>
  <c r="G9"/>
  <c r="K8"/>
  <c r="I8"/>
  <c r="H8"/>
  <c r="G8"/>
  <c r="K7"/>
  <c r="I7"/>
  <c r="H7"/>
  <c r="G7"/>
  <c r="K6"/>
  <c r="I6"/>
  <c r="H6"/>
  <c r="G6"/>
  <c r="K5"/>
  <c r="I5"/>
  <c r="H5"/>
  <c r="G5"/>
  <c r="E289" i="46"/>
  <c r="E292" s="1"/>
  <c r="F292" s="1"/>
  <c r="D289"/>
  <c r="D292" s="1"/>
  <c r="C289"/>
  <c r="C292" s="1"/>
  <c r="E203"/>
  <c r="D203"/>
  <c r="C203"/>
  <c r="F266" i="42" l="1"/>
  <c r="N268"/>
  <c r="O268" s="1"/>
  <c r="I320"/>
  <c r="I306"/>
  <c r="I315"/>
  <c r="I109"/>
  <c r="R90"/>
  <c r="I301"/>
  <c r="H13"/>
  <c r="H257" s="1"/>
  <c r="H137"/>
  <c r="H259"/>
  <c r="Q112"/>
  <c r="Q21"/>
  <c r="H258"/>
  <c r="P93"/>
  <c r="R93" s="1"/>
  <c r="O257"/>
  <c r="F203" i="46"/>
  <c r="J31" i="49"/>
  <c r="K31" s="1"/>
  <c r="E34"/>
  <c r="N272" i="72"/>
  <c r="O272" s="1"/>
  <c r="O71"/>
  <c r="H166"/>
  <c r="F281"/>
  <c r="B287"/>
  <c r="F272"/>
  <c r="H71"/>
  <c r="G21"/>
  <c r="G268" s="1"/>
  <c r="E268"/>
  <c r="G28"/>
  <c r="G269" s="1"/>
  <c r="C269"/>
  <c r="C287" s="1"/>
  <c r="H225"/>
  <c r="F284"/>
  <c r="F285"/>
  <c r="H238"/>
  <c r="M287"/>
  <c r="L28"/>
  <c r="K269"/>
  <c r="L269" s="1"/>
  <c r="Q33"/>
  <c r="R33" s="1"/>
  <c r="I33"/>
  <c r="Q37"/>
  <c r="I37"/>
  <c r="P51"/>
  <c r="G318"/>
  <c r="Q57"/>
  <c r="R57" s="1"/>
  <c r="I57"/>
  <c r="E273"/>
  <c r="G80"/>
  <c r="G273" s="1"/>
  <c r="Q102"/>
  <c r="R102" s="1"/>
  <c r="I102"/>
  <c r="Q134"/>
  <c r="R134" s="1"/>
  <c r="I134"/>
  <c r="J140"/>
  <c r="L138"/>
  <c r="P146"/>
  <c r="P147" s="1"/>
  <c r="P148" s="1"/>
  <c r="P279" s="1"/>
  <c r="I146"/>
  <c r="H157"/>
  <c r="I155"/>
  <c r="Q155"/>
  <c r="R155" s="1"/>
  <c r="K166"/>
  <c r="L164"/>
  <c r="P178"/>
  <c r="P282" s="1"/>
  <c r="G282"/>
  <c r="I282" s="1"/>
  <c r="P234"/>
  <c r="I234"/>
  <c r="J285"/>
  <c r="L285" s="1"/>
  <c r="L238"/>
  <c r="Q237"/>
  <c r="R237" s="1"/>
  <c r="I237"/>
  <c r="P245"/>
  <c r="R245" s="1"/>
  <c r="I245"/>
  <c r="R9"/>
  <c r="G19"/>
  <c r="O21"/>
  <c r="O59"/>
  <c r="I309"/>
  <c r="P95"/>
  <c r="P274" s="1"/>
  <c r="I92"/>
  <c r="H95"/>
  <c r="R100"/>
  <c r="I108"/>
  <c r="Q111"/>
  <c r="Q120"/>
  <c r="R120" s="1"/>
  <c r="K123"/>
  <c r="Q138"/>
  <c r="R138" s="1"/>
  <c r="H140"/>
  <c r="G148"/>
  <c r="G279" s="1"/>
  <c r="I154"/>
  <c r="R313"/>
  <c r="P316"/>
  <c r="R316" s="1"/>
  <c r="H324"/>
  <c r="I324" s="1"/>
  <c r="R329"/>
  <c r="H207"/>
  <c r="P210"/>
  <c r="P283" s="1"/>
  <c r="L223"/>
  <c r="R234"/>
  <c r="L267"/>
  <c r="O269"/>
  <c r="L280"/>
  <c r="N281"/>
  <c r="O281" s="1"/>
  <c r="N284"/>
  <c r="O284" s="1"/>
  <c r="E333"/>
  <c r="K333"/>
  <c r="L333" s="1"/>
  <c r="L310"/>
  <c r="L316"/>
  <c r="L320"/>
  <c r="L330"/>
  <c r="L332"/>
  <c r="N13"/>
  <c r="O10"/>
  <c r="J268"/>
  <c r="L21"/>
  <c r="K271"/>
  <c r="L271" s="1"/>
  <c r="L59"/>
  <c r="Q68"/>
  <c r="R68" s="1"/>
  <c r="E274"/>
  <c r="G95"/>
  <c r="G274" s="1"/>
  <c r="F276"/>
  <c r="H114"/>
  <c r="N276"/>
  <c r="O276" s="1"/>
  <c r="O114"/>
  <c r="E277"/>
  <c r="G123"/>
  <c r="G277" s="1"/>
  <c r="F277"/>
  <c r="H123"/>
  <c r="Q136"/>
  <c r="R136" s="1"/>
  <c r="I136"/>
  <c r="J280"/>
  <c r="L157"/>
  <c r="Q163"/>
  <c r="R163" s="1"/>
  <c r="I163"/>
  <c r="P186"/>
  <c r="P311" s="1"/>
  <c r="I186"/>
  <c r="P190"/>
  <c r="P314" s="1"/>
  <c r="R314" s="1"/>
  <c r="G314"/>
  <c r="I190"/>
  <c r="P194"/>
  <c r="R194" s="1"/>
  <c r="I194"/>
  <c r="P198"/>
  <c r="P321" s="1"/>
  <c r="R321" s="1"/>
  <c r="I198"/>
  <c r="P202"/>
  <c r="P325" s="1"/>
  <c r="G325"/>
  <c r="I325" s="1"/>
  <c r="I202"/>
  <c r="P206"/>
  <c r="P330" s="1"/>
  <c r="R330" s="1"/>
  <c r="G330"/>
  <c r="I206"/>
  <c r="K283"/>
  <c r="L283" s="1"/>
  <c r="L210"/>
  <c r="E284"/>
  <c r="G225"/>
  <c r="G284" s="1"/>
  <c r="H28"/>
  <c r="F269"/>
  <c r="Q34"/>
  <c r="R34" s="1"/>
  <c r="I34"/>
  <c r="Q58"/>
  <c r="R58" s="1"/>
  <c r="I58"/>
  <c r="J274"/>
  <c r="L95"/>
  <c r="K276"/>
  <c r="L276" s="1"/>
  <c r="L114"/>
  <c r="E276"/>
  <c r="G114"/>
  <c r="G276" s="1"/>
  <c r="G138"/>
  <c r="I138" s="1"/>
  <c r="E140"/>
  <c r="P156"/>
  <c r="P157" s="1"/>
  <c r="P280" s="1"/>
  <c r="I156"/>
  <c r="Q328"/>
  <c r="R328" s="1"/>
  <c r="I328"/>
  <c r="Q224"/>
  <c r="R224" s="1"/>
  <c r="I224"/>
  <c r="K284"/>
  <c r="L284" s="1"/>
  <c r="L225"/>
  <c r="P246"/>
  <c r="P327" s="1"/>
  <c r="I246"/>
  <c r="G327"/>
  <c r="Q327"/>
  <c r="R327" s="1"/>
  <c r="E286"/>
  <c r="G252"/>
  <c r="L250"/>
  <c r="K252"/>
  <c r="Q36"/>
  <c r="R36" s="1"/>
  <c r="I36"/>
  <c r="H332"/>
  <c r="K71"/>
  <c r="L68"/>
  <c r="H101"/>
  <c r="I101" s="1"/>
  <c r="F103"/>
  <c r="O155"/>
  <c r="N157"/>
  <c r="P183"/>
  <c r="I183"/>
  <c r="P187"/>
  <c r="P312" s="1"/>
  <c r="I187"/>
  <c r="G312"/>
  <c r="I312" s="1"/>
  <c r="Q312"/>
  <c r="R187"/>
  <c r="P191"/>
  <c r="P315" s="1"/>
  <c r="I191"/>
  <c r="Q315"/>
  <c r="P195"/>
  <c r="P319" s="1"/>
  <c r="I195"/>
  <c r="Q319"/>
  <c r="P199"/>
  <c r="P322" s="1"/>
  <c r="I199"/>
  <c r="P203"/>
  <c r="I203"/>
  <c r="R203"/>
  <c r="D283"/>
  <c r="H210"/>
  <c r="P233"/>
  <c r="P236" s="1"/>
  <c r="P238" s="1"/>
  <c r="P285" s="1"/>
  <c r="I233"/>
  <c r="N286"/>
  <c r="O286" s="1"/>
  <c r="O252"/>
  <c r="R26"/>
  <c r="R27"/>
  <c r="H35"/>
  <c r="O270"/>
  <c r="R49"/>
  <c r="G56"/>
  <c r="R65"/>
  <c r="O278"/>
  <c r="J148"/>
  <c r="J279" s="1"/>
  <c r="L279" s="1"/>
  <c r="R178"/>
  <c r="R186"/>
  <c r="R202"/>
  <c r="P225"/>
  <c r="P284" s="1"/>
  <c r="H327"/>
  <c r="P310"/>
  <c r="O333"/>
  <c r="R325"/>
  <c r="G332"/>
  <c r="I331"/>
  <c r="I19"/>
  <c r="H21"/>
  <c r="P35"/>
  <c r="G68"/>
  <c r="I68" s="1"/>
  <c r="Q78"/>
  <c r="R78" s="1"/>
  <c r="L103"/>
  <c r="R156"/>
  <c r="E166"/>
  <c r="Q309"/>
  <c r="R309" s="1"/>
  <c r="K270"/>
  <c r="L270" s="1"/>
  <c r="I308"/>
  <c r="H10"/>
  <c r="Q10"/>
  <c r="R11"/>
  <c r="L13"/>
  <c r="L19"/>
  <c r="P37"/>
  <c r="P331" s="1"/>
  <c r="O38"/>
  <c r="H56"/>
  <c r="H59"/>
  <c r="O271"/>
  <c r="G71"/>
  <c r="G272" s="1"/>
  <c r="I80"/>
  <c r="O92"/>
  <c r="N95"/>
  <c r="R101"/>
  <c r="O275"/>
  <c r="P111"/>
  <c r="P114" s="1"/>
  <c r="P276" s="1"/>
  <c r="I109"/>
  <c r="O111"/>
  <c r="G120"/>
  <c r="P138"/>
  <c r="P140" s="1"/>
  <c r="P278" s="1"/>
  <c r="O138"/>
  <c r="O140"/>
  <c r="D148"/>
  <c r="R183"/>
  <c r="I221"/>
  <c r="O223"/>
  <c r="R231"/>
  <c r="G236"/>
  <c r="Q238"/>
  <c r="R238" s="1"/>
  <c r="Q310"/>
  <c r="G250"/>
  <c r="O250"/>
  <c r="H273"/>
  <c r="D333"/>
  <c r="H333" s="1"/>
  <c r="J333"/>
  <c r="O307"/>
  <c r="I314"/>
  <c r="G321"/>
  <c r="G324"/>
  <c r="O324"/>
  <c r="N210"/>
  <c r="O207"/>
  <c r="I318"/>
  <c r="I320"/>
  <c r="I322"/>
  <c r="I330"/>
  <c r="H307"/>
  <c r="P7"/>
  <c r="I9"/>
  <c r="Q322"/>
  <c r="L10"/>
  <c r="P11"/>
  <c r="P332" s="1"/>
  <c r="I26"/>
  <c r="G27"/>
  <c r="I27" s="1"/>
  <c r="I48"/>
  <c r="I49"/>
  <c r="I50"/>
  <c r="I51"/>
  <c r="I52"/>
  <c r="I53"/>
  <c r="I54"/>
  <c r="I65"/>
  <c r="I66"/>
  <c r="Q66"/>
  <c r="R66" s="1"/>
  <c r="I67"/>
  <c r="I69"/>
  <c r="I70"/>
  <c r="D71"/>
  <c r="D272" s="1"/>
  <c r="I91"/>
  <c r="L92"/>
  <c r="O103"/>
  <c r="L111"/>
  <c r="I120"/>
  <c r="I121"/>
  <c r="I139"/>
  <c r="G147"/>
  <c r="I147" s="1"/>
  <c r="L148"/>
  <c r="H164"/>
  <c r="R206"/>
  <c r="H223"/>
  <c r="C225"/>
  <c r="C284" s="1"/>
  <c r="P324"/>
  <c r="O238"/>
  <c r="L274"/>
  <c r="O279"/>
  <c r="G307"/>
  <c r="G310"/>
  <c r="I310" s="1"/>
  <c r="G316"/>
  <c r="I316" s="1"/>
  <c r="G320"/>
  <c r="G322"/>
  <c r="G326"/>
  <c r="I326" s="1"/>
  <c r="L327"/>
  <c r="Q122"/>
  <c r="R122" s="1"/>
  <c r="I122"/>
  <c r="Q135"/>
  <c r="R135" s="1"/>
  <c r="I135"/>
  <c r="Q311"/>
  <c r="R311" s="1"/>
  <c r="H236"/>
  <c r="I236" s="1"/>
  <c r="H250"/>
  <c r="L282"/>
  <c r="Q282"/>
  <c r="L307"/>
  <c r="H311"/>
  <c r="I311" s="1"/>
  <c r="I313"/>
  <c r="I315"/>
  <c r="I317"/>
  <c r="I319"/>
  <c r="I321"/>
  <c r="L326"/>
  <c r="I329"/>
  <c r="N31" i="66"/>
  <c r="F31"/>
  <c r="G31" s="1"/>
  <c r="J29" i="61"/>
  <c r="J32" s="1"/>
  <c r="H32"/>
  <c r="I32" s="1"/>
  <c r="Q31" i="59"/>
  <c r="K34"/>
  <c r="Q34" s="1"/>
  <c r="J34"/>
  <c r="R34"/>
  <c r="Q29"/>
  <c r="J31"/>
  <c r="R31"/>
  <c r="G31" i="54"/>
  <c r="H28"/>
  <c r="G28"/>
  <c r="K28"/>
  <c r="K28" i="53"/>
  <c r="H31"/>
  <c r="F33"/>
  <c r="G33" s="1"/>
  <c r="J33"/>
  <c r="K33" s="1"/>
  <c r="K31" i="52"/>
  <c r="D33"/>
  <c r="K33"/>
  <c r="G28"/>
  <c r="E31"/>
  <c r="C28" i="51"/>
  <c r="H28" i="50"/>
  <c r="F31"/>
  <c r="G31" s="1"/>
  <c r="J31"/>
  <c r="K31" s="1"/>
  <c r="H31" i="49"/>
  <c r="I28"/>
  <c r="F34"/>
  <c r="G34" s="1"/>
  <c r="F289" i="46"/>
  <c r="Q13" i="42" l="1"/>
  <c r="H268"/>
  <c r="J34" i="49"/>
  <c r="K34" s="1"/>
  <c r="O210" i="72"/>
  <c r="N283"/>
  <c r="O283" s="1"/>
  <c r="O95"/>
  <c r="N274"/>
  <c r="O274" s="1"/>
  <c r="E281"/>
  <c r="G166"/>
  <c r="G281" s="1"/>
  <c r="I238"/>
  <c r="H285"/>
  <c r="H272"/>
  <c r="Q71"/>
  <c r="R71" s="1"/>
  <c r="I71"/>
  <c r="Q223"/>
  <c r="R223" s="1"/>
  <c r="I223"/>
  <c r="H268"/>
  <c r="Q21"/>
  <c r="R21" s="1"/>
  <c r="I21"/>
  <c r="H38"/>
  <c r="Q35"/>
  <c r="R35" s="1"/>
  <c r="I35"/>
  <c r="G286"/>
  <c r="I286" s="1"/>
  <c r="I252"/>
  <c r="Q28"/>
  <c r="R28" s="1"/>
  <c r="I28"/>
  <c r="H269"/>
  <c r="I114"/>
  <c r="H276"/>
  <c r="I225"/>
  <c r="H284"/>
  <c r="Q225"/>
  <c r="R225" s="1"/>
  <c r="Q56"/>
  <c r="R56" s="1"/>
  <c r="I56"/>
  <c r="H13"/>
  <c r="I10"/>
  <c r="F275"/>
  <c r="F287" s="1"/>
  <c r="H103"/>
  <c r="G140"/>
  <c r="G278" s="1"/>
  <c r="G287" s="1"/>
  <c r="E278"/>
  <c r="E287" s="1"/>
  <c r="N267"/>
  <c r="O13"/>
  <c r="I207"/>
  <c r="Q207"/>
  <c r="R207" s="1"/>
  <c r="H278"/>
  <c r="Q140"/>
  <c r="R140" s="1"/>
  <c r="I140"/>
  <c r="Q114"/>
  <c r="R114" s="1"/>
  <c r="R111"/>
  <c r="K281"/>
  <c r="L281" s="1"/>
  <c r="L166"/>
  <c r="I166"/>
  <c r="H281"/>
  <c r="Q166"/>
  <c r="R166" s="1"/>
  <c r="R282"/>
  <c r="R322"/>
  <c r="R310"/>
  <c r="R199"/>
  <c r="Q307"/>
  <c r="R307" s="1"/>
  <c r="Q324"/>
  <c r="R324" s="1"/>
  <c r="P318"/>
  <c r="R318" s="1"/>
  <c r="P56"/>
  <c r="P59" s="1"/>
  <c r="P271" s="1"/>
  <c r="P250"/>
  <c r="P252" s="1"/>
  <c r="P286" s="1"/>
  <c r="R190"/>
  <c r="I307"/>
  <c r="R233"/>
  <c r="R147"/>
  <c r="P38"/>
  <c r="P270" s="1"/>
  <c r="R236"/>
  <c r="Q332"/>
  <c r="R332" s="1"/>
  <c r="R319"/>
  <c r="R315"/>
  <c r="R312"/>
  <c r="I332"/>
  <c r="R246"/>
  <c r="R51"/>
  <c r="Q273"/>
  <c r="R273" s="1"/>
  <c r="I273"/>
  <c r="N280"/>
  <c r="O280" s="1"/>
  <c r="O157"/>
  <c r="L123"/>
  <c r="K277"/>
  <c r="L277" s="1"/>
  <c r="I164"/>
  <c r="Q164"/>
  <c r="R164" s="1"/>
  <c r="Q333"/>
  <c r="I250"/>
  <c r="Q250"/>
  <c r="P307"/>
  <c r="P333" s="1"/>
  <c r="P10"/>
  <c r="P13" s="1"/>
  <c r="P267" s="1"/>
  <c r="D279"/>
  <c r="D287" s="1"/>
  <c r="H148"/>
  <c r="H271"/>
  <c r="Q59"/>
  <c r="R59" s="1"/>
  <c r="I59"/>
  <c r="Q13"/>
  <c r="R13" s="1"/>
  <c r="R10"/>
  <c r="H283"/>
  <c r="Q210"/>
  <c r="R210" s="1"/>
  <c r="I210"/>
  <c r="L71"/>
  <c r="K272"/>
  <c r="L252"/>
  <c r="K286"/>
  <c r="Q123"/>
  <c r="R123" s="1"/>
  <c r="I123"/>
  <c r="H277"/>
  <c r="H274"/>
  <c r="I95"/>
  <c r="Q95"/>
  <c r="R95" s="1"/>
  <c r="Q157"/>
  <c r="R157" s="1"/>
  <c r="I157"/>
  <c r="H280"/>
  <c r="L140"/>
  <c r="J278"/>
  <c r="L278" s="1"/>
  <c r="L268"/>
  <c r="G333"/>
  <c r="I333" s="1"/>
  <c r="R198"/>
  <c r="Q331"/>
  <c r="R331" s="1"/>
  <c r="I327"/>
  <c r="R195"/>
  <c r="R191"/>
  <c r="R146"/>
  <c r="R37"/>
  <c r="R7"/>
  <c r="I28" i="54"/>
  <c r="H31"/>
  <c r="I31" s="1"/>
  <c r="I31" i="53"/>
  <c r="H33"/>
  <c r="I33" s="1"/>
  <c r="E33" i="52"/>
  <c r="G31"/>
  <c r="I31" s="1"/>
  <c r="H31"/>
  <c r="Q28" i="51"/>
  <c r="C31"/>
  <c r="I28" i="50"/>
  <c r="H31"/>
  <c r="I31" s="1"/>
  <c r="I31" i="49"/>
  <c r="H34"/>
  <c r="I34" s="1"/>
  <c r="Q280" i="72" l="1"/>
  <c r="R280" s="1"/>
  <c r="I280"/>
  <c r="I271"/>
  <c r="Q271"/>
  <c r="R271" s="1"/>
  <c r="I103"/>
  <c r="Q103"/>
  <c r="R103" s="1"/>
  <c r="H275"/>
  <c r="L272"/>
  <c r="K287"/>
  <c r="L287" s="1"/>
  <c r="Q283"/>
  <c r="R283" s="1"/>
  <c r="I283"/>
  <c r="H267"/>
  <c r="I13"/>
  <c r="Q284"/>
  <c r="R284" s="1"/>
  <c r="I284"/>
  <c r="Q269"/>
  <c r="R269" s="1"/>
  <c r="I269"/>
  <c r="I285"/>
  <c r="Q285"/>
  <c r="R285" s="1"/>
  <c r="P287"/>
  <c r="R333"/>
  <c r="J287"/>
  <c r="Q277"/>
  <c r="R277" s="1"/>
  <c r="I277"/>
  <c r="H270"/>
  <c r="Q38"/>
  <c r="R38" s="1"/>
  <c r="I38"/>
  <c r="Q272"/>
  <c r="R272" s="1"/>
  <c r="I272"/>
  <c r="Q274"/>
  <c r="R274" s="1"/>
  <c r="I274"/>
  <c r="L286"/>
  <c r="Q286"/>
  <c r="R286" s="1"/>
  <c r="I148"/>
  <c r="H279"/>
  <c r="Q148"/>
  <c r="R148" s="1"/>
  <c r="Q252"/>
  <c r="R252" s="1"/>
  <c r="R250"/>
  <c r="Q281"/>
  <c r="R281" s="1"/>
  <c r="I281"/>
  <c r="I278"/>
  <c r="Q278"/>
  <c r="R278" s="1"/>
  <c r="O267"/>
  <c r="N287"/>
  <c r="O287" s="1"/>
  <c r="Q276"/>
  <c r="R276" s="1"/>
  <c r="I276"/>
  <c r="Q268"/>
  <c r="R268" s="1"/>
  <c r="I268"/>
  <c r="H287"/>
  <c r="H33" i="52"/>
  <c r="G33"/>
  <c r="I33" s="1"/>
  <c r="C33" i="51"/>
  <c r="Q33" s="1"/>
  <c r="Q31"/>
  <c r="I279" i="72" l="1"/>
  <c r="Q279"/>
  <c r="R279" s="1"/>
  <c r="I275"/>
  <c r="Q275"/>
  <c r="R275" s="1"/>
  <c r="I267"/>
  <c r="Q267"/>
  <c r="R267" s="1"/>
  <c r="I287"/>
  <c r="Q287"/>
  <c r="R287" s="1"/>
  <c r="I270"/>
  <c r="Q270"/>
  <c r="R270" s="1"/>
  <c r="G134" i="1" l="1"/>
  <c r="G37"/>
  <c r="F276"/>
  <c r="E276"/>
  <c r="D276"/>
  <c r="E275"/>
  <c r="F275"/>
  <c r="D275"/>
  <c r="D282"/>
  <c r="D284"/>
  <c r="D285"/>
  <c r="D286"/>
  <c r="D288"/>
  <c r="D289"/>
  <c r="D290"/>
  <c r="D291"/>
  <c r="E268"/>
  <c r="F268"/>
  <c r="D270"/>
  <c r="D272"/>
  <c r="D277"/>
  <c r="D278"/>
  <c r="D279"/>
  <c r="D280"/>
  <c r="D281"/>
  <c r="D283"/>
  <c r="D268"/>
  <c r="E294"/>
  <c r="F294"/>
  <c r="F295" s="1"/>
  <c r="E287"/>
  <c r="F287"/>
  <c r="D287"/>
  <c r="D293"/>
  <c r="E19"/>
  <c r="E224" s="1"/>
  <c r="F19"/>
  <c r="D19"/>
  <c r="D224" s="1"/>
  <c r="E27"/>
  <c r="F27"/>
  <c r="D27"/>
  <c r="D225" s="1"/>
  <c r="E33"/>
  <c r="F33"/>
  <c r="D33"/>
  <c r="D222" s="1"/>
  <c r="E42"/>
  <c r="F42"/>
  <c r="D42"/>
  <c r="D221" s="1"/>
  <c r="E65"/>
  <c r="F65"/>
  <c r="D65"/>
  <c r="D220" s="1"/>
  <c r="E70"/>
  <c r="F70"/>
  <c r="D70"/>
  <c r="D223" s="1"/>
  <c r="E75"/>
  <c r="F75"/>
  <c r="D75"/>
  <c r="D218" s="1"/>
  <c r="E83"/>
  <c r="F83"/>
  <c r="D83"/>
  <c r="D219" s="1"/>
  <c r="E90"/>
  <c r="F90"/>
  <c r="D90"/>
  <c r="D215" s="1"/>
  <c r="E99"/>
  <c r="F99"/>
  <c r="D99"/>
  <c r="D216" s="1"/>
  <c r="E112"/>
  <c r="F112"/>
  <c r="D112"/>
  <c r="D214" s="1"/>
  <c r="E121"/>
  <c r="F121"/>
  <c r="D121"/>
  <c r="D212" s="1"/>
  <c r="E130"/>
  <c r="E230" s="1"/>
  <c r="F130"/>
  <c r="F230" s="1"/>
  <c r="D130"/>
  <c r="D230" s="1"/>
  <c r="E140"/>
  <c r="E229" s="1"/>
  <c r="F140"/>
  <c r="F229" s="1"/>
  <c r="D140"/>
  <c r="D229" s="1"/>
  <c r="E181"/>
  <c r="E184" s="1"/>
  <c r="E187" s="1"/>
  <c r="F181"/>
  <c r="F184" s="1"/>
  <c r="F187" s="1"/>
  <c r="D181"/>
  <c r="D184" s="1"/>
  <c r="E146"/>
  <c r="E228" s="1"/>
  <c r="F146"/>
  <c r="F228" s="1"/>
  <c r="D146"/>
  <c r="D228" s="1"/>
  <c r="D213"/>
  <c r="D217"/>
  <c r="D227"/>
  <c r="D294"/>
  <c r="E273"/>
  <c r="F273"/>
  <c r="D273"/>
  <c r="E271"/>
  <c r="F271"/>
  <c r="D271"/>
  <c r="E269"/>
  <c r="F269"/>
  <c r="D269"/>
  <c r="E8" l="1"/>
  <c r="F8"/>
  <c r="D8"/>
  <c r="D226" s="1"/>
  <c r="A4" i="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"/>
  <c r="D18" i="43" l="1"/>
  <c r="E18"/>
  <c r="F18"/>
  <c r="C18"/>
  <c r="G17"/>
  <c r="D16"/>
  <c r="E16"/>
  <c r="F16"/>
  <c r="C16"/>
  <c r="G15"/>
  <c r="D14"/>
  <c r="E14"/>
  <c r="F14"/>
  <c r="C14"/>
  <c r="G13"/>
  <c r="D12"/>
  <c r="E12"/>
  <c r="F12"/>
  <c r="C12"/>
  <c r="G11"/>
  <c r="D10"/>
  <c r="E10"/>
  <c r="C10"/>
  <c r="G8"/>
  <c r="D27" i="29" l="1"/>
  <c r="D30" s="1"/>
  <c r="G6" i="5" l="1"/>
  <c r="J6" s="1"/>
  <c r="G7"/>
  <c r="G8"/>
  <c r="J8" s="1"/>
  <c r="G9"/>
  <c r="J9" s="1"/>
  <c r="G10"/>
  <c r="G11"/>
  <c r="G12"/>
  <c r="J12" s="1"/>
  <c r="G13"/>
  <c r="J13" s="1"/>
  <c r="G14"/>
  <c r="J14" s="1"/>
  <c r="G15"/>
  <c r="G16"/>
  <c r="J16" s="1"/>
  <c r="G17"/>
  <c r="J17" s="1"/>
  <c r="G18"/>
  <c r="J18" s="1"/>
  <c r="G19"/>
  <c r="J19" s="1"/>
  <c r="G20"/>
  <c r="J20" s="1"/>
  <c r="G21"/>
  <c r="J21" s="1"/>
  <c r="G22"/>
  <c r="J22" s="1"/>
  <c r="G23"/>
  <c r="G24"/>
  <c r="J24" s="1"/>
  <c r="G25"/>
  <c r="J25" s="1"/>
  <c r="G26"/>
  <c r="J26" s="1"/>
  <c r="G27"/>
  <c r="G28"/>
  <c r="J28" s="1"/>
  <c r="J10"/>
  <c r="J7"/>
  <c r="J11"/>
  <c r="J15"/>
  <c r="J23"/>
  <c r="J27"/>
  <c r="D21" i="7"/>
  <c r="D20"/>
  <c r="D18"/>
  <c r="D8"/>
  <c r="D6"/>
  <c r="C18" i="9"/>
  <c r="K24" i="8"/>
  <c r="I24"/>
  <c r="H24"/>
  <c r="G24"/>
  <c r="K30"/>
  <c r="H30"/>
  <c r="I30" s="1"/>
  <c r="G30"/>
  <c r="O24" i="18" l="1"/>
  <c r="H24"/>
  <c r="G24"/>
  <c r="O19"/>
  <c r="N19"/>
  <c r="G19"/>
  <c r="H16"/>
  <c r="G16"/>
  <c r="S27" i="14" l="1"/>
  <c r="R27"/>
  <c r="M27"/>
  <c r="L27"/>
  <c r="S13"/>
  <c r="R13"/>
  <c r="M13"/>
  <c r="L13"/>
  <c r="K10" i="12"/>
  <c r="I10"/>
  <c r="H10"/>
  <c r="G10"/>
  <c r="K10" i="11"/>
  <c r="I10"/>
  <c r="H10"/>
  <c r="G10"/>
  <c r="K10" i="10"/>
  <c r="I10"/>
  <c r="H10"/>
  <c r="G10"/>
  <c r="Q10" i="9"/>
  <c r="K10" i="8"/>
  <c r="H10"/>
  <c r="I10" s="1"/>
  <c r="G10"/>
  <c r="K24" i="7"/>
  <c r="I24"/>
  <c r="H24"/>
  <c r="G24"/>
  <c r="K10"/>
  <c r="I10"/>
  <c r="H10"/>
  <c r="G10"/>
  <c r="D6" i="11"/>
  <c r="S14" i="14"/>
  <c r="R14"/>
  <c r="M14"/>
  <c r="L14"/>
  <c r="K11" i="12"/>
  <c r="I11"/>
  <c r="H11"/>
  <c r="G11"/>
  <c r="K11" i="11"/>
  <c r="I11"/>
  <c r="H11"/>
  <c r="G11"/>
  <c r="K11" i="10"/>
  <c r="H11"/>
  <c r="I11" s="1"/>
  <c r="G11"/>
  <c r="Q11" i="9"/>
  <c r="K11" i="8"/>
  <c r="I11"/>
  <c r="H11"/>
  <c r="G11"/>
  <c r="K11" i="7"/>
  <c r="H11"/>
  <c r="I11" s="1"/>
  <c r="G11"/>
  <c r="M9" i="26"/>
  <c r="L9"/>
  <c r="G8" i="25"/>
  <c r="E8"/>
  <c r="D8"/>
  <c r="D187" i="1" l="1"/>
  <c r="D231" s="1"/>
  <c r="D232" s="1"/>
  <c r="E231"/>
  <c r="F282"/>
  <c r="E282"/>
  <c r="C29" i="5"/>
  <c r="C32" s="1"/>
  <c r="D29"/>
  <c r="D32" s="1"/>
  <c r="E212" i="1"/>
  <c r="G187" l="1"/>
  <c r="F231"/>
  <c r="E22" i="24"/>
  <c r="D22"/>
  <c r="C22"/>
  <c r="R24" i="22"/>
  <c r="Q24"/>
  <c r="J24"/>
  <c r="I24"/>
  <c r="R25" i="14"/>
  <c r="D19" i="27"/>
  <c r="G17" i="18"/>
  <c r="L29" i="12"/>
  <c r="D29"/>
  <c r="K6" i="8"/>
  <c r="K7"/>
  <c r="K8"/>
  <c r="K9"/>
  <c r="K13"/>
  <c r="K14"/>
  <c r="K15"/>
  <c r="K16"/>
  <c r="K17"/>
  <c r="K18"/>
  <c r="K19"/>
  <c r="K20"/>
  <c r="K21"/>
  <c r="K22"/>
  <c r="K23"/>
  <c r="K25"/>
  <c r="K29"/>
  <c r="D19" i="25"/>
  <c r="I7" i="27"/>
  <c r="J7"/>
  <c r="Q21" i="9" l="1"/>
  <c r="O238" i="42"/>
  <c r="O239"/>
  <c r="L237"/>
  <c r="L238"/>
  <c r="L239"/>
  <c r="L240"/>
  <c r="H237"/>
  <c r="O225"/>
  <c r="O226"/>
  <c r="O227"/>
  <c r="O228"/>
  <c r="L225"/>
  <c r="L226"/>
  <c r="L227"/>
  <c r="L228"/>
  <c r="O160"/>
  <c r="L160"/>
  <c r="O151"/>
  <c r="L151"/>
  <c r="O143"/>
  <c r="L143"/>
  <c r="H143"/>
  <c r="O132"/>
  <c r="O133"/>
  <c r="O134"/>
  <c r="L133"/>
  <c r="O117"/>
  <c r="O119" s="1"/>
  <c r="O106"/>
  <c r="O107"/>
  <c r="L106"/>
  <c r="L107"/>
  <c r="H106"/>
  <c r="O100"/>
  <c r="O98"/>
  <c r="L100"/>
  <c r="L98"/>
  <c r="H98"/>
  <c r="O91"/>
  <c r="L91"/>
  <c r="L89"/>
  <c r="L90" s="1"/>
  <c r="H89"/>
  <c r="O66"/>
  <c r="O67"/>
  <c r="L66"/>
  <c r="L67"/>
  <c r="O49"/>
  <c r="O50"/>
  <c r="O51"/>
  <c r="O52"/>
  <c r="O53"/>
  <c r="O54"/>
  <c r="O55"/>
  <c r="L49"/>
  <c r="L50"/>
  <c r="L51"/>
  <c r="L52"/>
  <c r="L53"/>
  <c r="L54"/>
  <c r="L55"/>
  <c r="L48"/>
  <c r="H48"/>
  <c r="O36"/>
  <c r="O33"/>
  <c r="O34"/>
  <c r="L33"/>
  <c r="L34"/>
  <c r="L36"/>
  <c r="H18"/>
  <c r="L20"/>
  <c r="L18"/>
  <c r="O18"/>
  <c r="O20"/>
  <c r="H242" l="1"/>
  <c r="L93"/>
  <c r="I92"/>
  <c r="H264"/>
  <c r="H322"/>
  <c r="Q106"/>
  <c r="Q18"/>
  <c r="H244" l="1"/>
  <c r="Q266"/>
  <c r="H266"/>
  <c r="Q264"/>
  <c r="I264"/>
  <c r="I322"/>
  <c r="Q98"/>
  <c r="O77"/>
  <c r="O79"/>
  <c r="L77"/>
  <c r="L79"/>
  <c r="H77"/>
  <c r="H78"/>
  <c r="H79"/>
  <c r="H80" l="1"/>
  <c r="Q78"/>
  <c r="H323"/>
  <c r="I323" s="1"/>
  <c r="Q79"/>
  <c r="Q77"/>
  <c r="Q80" l="1"/>
  <c r="Q263" s="1"/>
  <c r="H263"/>
  <c r="H27" i="5"/>
  <c r="H28"/>
  <c r="H31"/>
  <c r="J31" l="1"/>
  <c r="K6" i="6"/>
  <c r="K7"/>
  <c r="K8"/>
  <c r="K9"/>
  <c r="K10"/>
  <c r="K11"/>
  <c r="K12"/>
  <c r="K13"/>
  <c r="K14"/>
  <c r="K15"/>
  <c r="K16"/>
  <c r="K17"/>
  <c r="K18"/>
  <c r="K19"/>
  <c r="K20"/>
  <c r="K21"/>
  <c r="K22"/>
  <c r="K23"/>
  <c r="K25"/>
  <c r="K26"/>
  <c r="K28"/>
  <c r="K30"/>
  <c r="K31"/>
  <c r="J8" l="1"/>
  <c r="H8"/>
  <c r="G8"/>
  <c r="D8"/>
  <c r="H21"/>
  <c r="G21"/>
  <c r="E21"/>
  <c r="D21"/>
  <c r="M15"/>
  <c r="L15"/>
  <c r="I15"/>
  <c r="D15"/>
  <c r="F15" s="1"/>
  <c r="O192" i="42" l="1"/>
  <c r="N183"/>
  <c r="F183"/>
  <c r="H183" s="1"/>
  <c r="O178"/>
  <c r="O179"/>
  <c r="O180"/>
  <c r="O181"/>
  <c r="O182"/>
  <c r="O184"/>
  <c r="O185"/>
  <c r="O186"/>
  <c r="O187"/>
  <c r="O188"/>
  <c r="O189"/>
  <c r="O190"/>
  <c r="O191"/>
  <c r="O193"/>
  <c r="O194"/>
  <c r="O195"/>
  <c r="O196"/>
  <c r="O197"/>
  <c r="O198"/>
  <c r="L26"/>
  <c r="H26"/>
  <c r="Q26" s="1"/>
  <c r="O237"/>
  <c r="O224"/>
  <c r="L224"/>
  <c r="H224"/>
  <c r="H214"/>
  <c r="Q214" s="1"/>
  <c r="L214"/>
  <c r="L215"/>
  <c r="O214"/>
  <c r="O215"/>
  <c r="O171"/>
  <c r="Q171"/>
  <c r="H160"/>
  <c r="H151"/>
  <c r="Q151" s="1"/>
  <c r="O131"/>
  <c r="L131"/>
  <c r="H131"/>
  <c r="Q131" s="1"/>
  <c r="L120"/>
  <c r="L117"/>
  <c r="L119" s="1"/>
  <c r="H117"/>
  <c r="Q117" s="1"/>
  <c r="Q89"/>
  <c r="O89"/>
  <c r="O90" s="1"/>
  <c r="O93" s="1"/>
  <c r="O65"/>
  <c r="L65"/>
  <c r="H65"/>
  <c r="Q48"/>
  <c r="O48"/>
  <c r="N27"/>
  <c r="O26"/>
  <c r="O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177"/>
  <c r="H177"/>
  <c r="Q177" s="1"/>
  <c r="Q299"/>
  <c r="Q303"/>
  <c r="Q306"/>
  <c r="Q307"/>
  <c r="Q308"/>
  <c r="Q312"/>
  <c r="Q317"/>
  <c r="Q315"/>
  <c r="Q321"/>
  <c r="N28" l="1"/>
  <c r="Q27"/>
  <c r="Q224"/>
  <c r="O183"/>
  <c r="Q183"/>
  <c r="Q320"/>
  <c r="Q319"/>
  <c r="Q160"/>
  <c r="Q65"/>
  <c r="I189"/>
  <c r="I186"/>
  <c r="Q300"/>
  <c r="I195"/>
  <c r="Q310"/>
  <c r="Q311"/>
  <c r="Q309"/>
  <c r="Q305"/>
  <c r="I192"/>
  <c r="Q314"/>
  <c r="Q316"/>
  <c r="Q237"/>
  <c r="Q318"/>
  <c r="I239"/>
  <c r="G237"/>
  <c r="G242" s="1"/>
  <c r="G224"/>
  <c r="P224" s="1"/>
  <c r="R215"/>
  <c r="G214"/>
  <c r="P214" s="1"/>
  <c r="R214" s="1"/>
  <c r="R199"/>
  <c r="R197"/>
  <c r="P316"/>
  <c r="P314"/>
  <c r="I194"/>
  <c r="P311"/>
  <c r="R186"/>
  <c r="I184"/>
  <c r="I182"/>
  <c r="R180"/>
  <c r="I178"/>
  <c r="G177"/>
  <c r="P177" s="1"/>
  <c r="R177" s="1"/>
  <c r="G171"/>
  <c r="P171" s="1"/>
  <c r="R171" s="1"/>
  <c r="G160"/>
  <c r="P160" s="1"/>
  <c r="G151"/>
  <c r="I151" s="1"/>
  <c r="G143"/>
  <c r="K132"/>
  <c r="I132"/>
  <c r="G131"/>
  <c r="I131" s="1"/>
  <c r="D122"/>
  <c r="D267" s="1"/>
  <c r="F122"/>
  <c r="K122"/>
  <c r="G117"/>
  <c r="G106"/>
  <c r="I100"/>
  <c r="G98"/>
  <c r="I98" s="1"/>
  <c r="G89"/>
  <c r="I89" s="1"/>
  <c r="I90" s="1"/>
  <c r="G77"/>
  <c r="I77" s="1"/>
  <c r="I67"/>
  <c r="I66"/>
  <c r="G65"/>
  <c r="I65" s="1"/>
  <c r="I55"/>
  <c r="I54"/>
  <c r="I52"/>
  <c r="G48"/>
  <c r="I48" s="1"/>
  <c r="H33"/>
  <c r="Q33" s="1"/>
  <c r="I34"/>
  <c r="G33"/>
  <c r="P33" s="1"/>
  <c r="G26"/>
  <c r="I26" s="1"/>
  <c r="I20"/>
  <c r="G18"/>
  <c r="P18" s="1"/>
  <c r="P26" l="1"/>
  <c r="R26" s="1"/>
  <c r="R224"/>
  <c r="R160"/>
  <c r="R316"/>
  <c r="P89"/>
  <c r="R89" s="1"/>
  <c r="G244"/>
  <c r="P242"/>
  <c r="I242"/>
  <c r="I160"/>
  <c r="N259"/>
  <c r="Q28"/>
  <c r="F267"/>
  <c r="H122"/>
  <c r="K135"/>
  <c r="K302"/>
  <c r="Q132"/>
  <c r="Q242"/>
  <c r="R33"/>
  <c r="R18"/>
  <c r="I18"/>
  <c r="R311"/>
  <c r="R314"/>
  <c r="R192"/>
  <c r="P312"/>
  <c r="R312" s="1"/>
  <c r="R195"/>
  <c r="P317"/>
  <c r="R317" s="1"/>
  <c r="R179"/>
  <c r="P299"/>
  <c r="R299" s="1"/>
  <c r="R187"/>
  <c r="P308"/>
  <c r="R308" s="1"/>
  <c r="P319"/>
  <c r="R319" s="1"/>
  <c r="R198"/>
  <c r="P320"/>
  <c r="R320" s="1"/>
  <c r="R181"/>
  <c r="P303"/>
  <c r="R303" s="1"/>
  <c r="R185"/>
  <c r="P306"/>
  <c r="R306" s="1"/>
  <c r="P321"/>
  <c r="R321" s="1"/>
  <c r="R200"/>
  <c r="L122"/>
  <c r="K267"/>
  <c r="R100"/>
  <c r="R52"/>
  <c r="N122"/>
  <c r="R69"/>
  <c r="I69"/>
  <c r="I108"/>
  <c r="I134"/>
  <c r="R225"/>
  <c r="I225"/>
  <c r="R230"/>
  <c r="P48"/>
  <c r="R48" s="1"/>
  <c r="P151"/>
  <c r="R151" s="1"/>
  <c r="R182"/>
  <c r="R239"/>
  <c r="I50"/>
  <c r="R53"/>
  <c r="I53"/>
  <c r="R57"/>
  <c r="I57"/>
  <c r="P106"/>
  <c r="R106" s="1"/>
  <c r="I106"/>
  <c r="R111"/>
  <c r="L132"/>
  <c r="P143"/>
  <c r="R143" s="1"/>
  <c r="I143"/>
  <c r="R217"/>
  <c r="R227"/>
  <c r="I227"/>
  <c r="R238"/>
  <c r="I238"/>
  <c r="R49"/>
  <c r="I49"/>
  <c r="R70"/>
  <c r="R110"/>
  <c r="R226"/>
  <c r="I226"/>
  <c r="P237"/>
  <c r="R237" s="1"/>
  <c r="I237"/>
  <c r="R240"/>
  <c r="I240"/>
  <c r="I51"/>
  <c r="R58"/>
  <c r="I91"/>
  <c r="I93" s="1"/>
  <c r="I107"/>
  <c r="R133"/>
  <c r="I133"/>
  <c r="R228"/>
  <c r="I228"/>
  <c r="I198"/>
  <c r="R67"/>
  <c r="P77"/>
  <c r="R77" s="1"/>
  <c r="P98"/>
  <c r="R98" s="1"/>
  <c r="R121"/>
  <c r="I197"/>
  <c r="I191"/>
  <c r="R66"/>
  <c r="P117"/>
  <c r="R117" s="1"/>
  <c r="I117"/>
  <c r="I119" s="1"/>
  <c r="I79"/>
  <c r="R120"/>
  <c r="I120"/>
  <c r="I190"/>
  <c r="R183"/>
  <c r="I181"/>
  <c r="R191"/>
  <c r="R193"/>
  <c r="I214"/>
  <c r="I183"/>
  <c r="I224"/>
  <c r="I188"/>
  <c r="R190"/>
  <c r="P65"/>
  <c r="R65" s="1"/>
  <c r="P131"/>
  <c r="R131" s="1"/>
  <c r="R178"/>
  <c r="P305"/>
  <c r="R305" s="1"/>
  <c r="R203"/>
  <c r="R196"/>
  <c r="I185"/>
  <c r="I187"/>
  <c r="I180"/>
  <c r="I177"/>
  <c r="I193"/>
  <c r="R194"/>
  <c r="R188"/>
  <c r="R189"/>
  <c r="I179"/>
  <c r="I215"/>
  <c r="I196"/>
  <c r="R34"/>
  <c r="I33"/>
  <c r="O11"/>
  <c r="L11"/>
  <c r="P323"/>
  <c r="O9"/>
  <c r="L9"/>
  <c r="O8"/>
  <c r="L8"/>
  <c r="O7"/>
  <c r="L7"/>
  <c r="H7"/>
  <c r="H298" s="1"/>
  <c r="G7"/>
  <c r="P7" s="1"/>
  <c r="B324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N304"/>
  <c r="M304"/>
  <c r="K304"/>
  <c r="J304"/>
  <c r="G304"/>
  <c r="F304"/>
  <c r="E304"/>
  <c r="D304"/>
  <c r="D324" s="1"/>
  <c r="H324" s="1"/>
  <c r="C304"/>
  <c r="C303"/>
  <c r="C302"/>
  <c r="C300"/>
  <c r="C299"/>
  <c r="C242"/>
  <c r="C244" s="1"/>
  <c r="C276" s="1"/>
  <c r="B242"/>
  <c r="B244" s="1"/>
  <c r="B276" s="1"/>
  <c r="N229"/>
  <c r="M229"/>
  <c r="M231" s="1"/>
  <c r="M275" s="1"/>
  <c r="K229"/>
  <c r="K231" s="1"/>
  <c r="J229"/>
  <c r="J231" s="1"/>
  <c r="J275" s="1"/>
  <c r="F229"/>
  <c r="E229"/>
  <c r="E231" s="1"/>
  <c r="E275" s="1"/>
  <c r="D229"/>
  <c r="D231" s="1"/>
  <c r="D275" s="1"/>
  <c r="C229"/>
  <c r="B229"/>
  <c r="B231" s="1"/>
  <c r="B275" s="1"/>
  <c r="N216"/>
  <c r="N218" s="1"/>
  <c r="M216"/>
  <c r="M218" s="1"/>
  <c r="M274" s="1"/>
  <c r="K216"/>
  <c r="K218" s="1"/>
  <c r="J216"/>
  <c r="J218" s="1"/>
  <c r="J274" s="1"/>
  <c r="F216"/>
  <c r="F218" s="1"/>
  <c r="F274" s="1"/>
  <c r="E216"/>
  <c r="E218" s="1"/>
  <c r="E274" s="1"/>
  <c r="D216"/>
  <c r="C216"/>
  <c r="B216"/>
  <c r="B218" s="1"/>
  <c r="B274" s="1"/>
  <c r="N201"/>
  <c r="M201"/>
  <c r="M204" s="1"/>
  <c r="M273" s="1"/>
  <c r="K201"/>
  <c r="J201"/>
  <c r="J204" s="1"/>
  <c r="J273" s="1"/>
  <c r="F201"/>
  <c r="F204" s="1"/>
  <c r="F273" s="1"/>
  <c r="E201"/>
  <c r="E204" s="1"/>
  <c r="E273" s="1"/>
  <c r="D201"/>
  <c r="C201"/>
  <c r="B201"/>
  <c r="B204" s="1"/>
  <c r="B273" s="1"/>
  <c r="Q304"/>
  <c r="P304"/>
  <c r="H304"/>
  <c r="Q172"/>
  <c r="Q272" s="1"/>
  <c r="M172"/>
  <c r="M272" s="1"/>
  <c r="O272" s="1"/>
  <c r="J172"/>
  <c r="J272" s="1"/>
  <c r="L272" s="1"/>
  <c r="E172"/>
  <c r="E272" s="1"/>
  <c r="C172"/>
  <c r="C272" s="1"/>
  <c r="B172"/>
  <c r="B272" s="1"/>
  <c r="N161"/>
  <c r="N163" s="1"/>
  <c r="M161"/>
  <c r="M163" s="1"/>
  <c r="M271" s="1"/>
  <c r="K161"/>
  <c r="K163" s="1"/>
  <c r="J161"/>
  <c r="J163" s="1"/>
  <c r="J271" s="1"/>
  <c r="F161"/>
  <c r="F163" s="1"/>
  <c r="F271" s="1"/>
  <c r="E161"/>
  <c r="E163" s="1"/>
  <c r="E271" s="1"/>
  <c r="D161"/>
  <c r="C161"/>
  <c r="B161"/>
  <c r="B163" s="1"/>
  <c r="B271" s="1"/>
  <c r="N152"/>
  <c r="N154" s="1"/>
  <c r="M152"/>
  <c r="M154" s="1"/>
  <c r="M270" s="1"/>
  <c r="J152"/>
  <c r="J154" s="1"/>
  <c r="E152"/>
  <c r="E154" s="1"/>
  <c r="E270" s="1"/>
  <c r="D152"/>
  <c r="C152"/>
  <c r="M144"/>
  <c r="M145" s="1"/>
  <c r="J144"/>
  <c r="E144"/>
  <c r="E145" s="1"/>
  <c r="E269" s="1"/>
  <c r="D144"/>
  <c r="D145" s="1"/>
  <c r="D269" s="1"/>
  <c r="C144"/>
  <c r="C145" s="1"/>
  <c r="C269" s="1"/>
  <c r="B144"/>
  <c r="B145" s="1"/>
  <c r="B269" s="1"/>
  <c r="C135"/>
  <c r="C122"/>
  <c r="N99"/>
  <c r="N101" s="1"/>
  <c r="N265" s="1"/>
  <c r="M99"/>
  <c r="M101" s="1"/>
  <c r="M265" s="1"/>
  <c r="J99"/>
  <c r="J101" s="1"/>
  <c r="J265" s="1"/>
  <c r="L265" s="1"/>
  <c r="F99"/>
  <c r="E99"/>
  <c r="E101" s="1"/>
  <c r="E265" s="1"/>
  <c r="C99"/>
  <c r="B93"/>
  <c r="B264" s="1"/>
  <c r="C264"/>
  <c r="B80"/>
  <c r="B263" s="1"/>
  <c r="M78"/>
  <c r="J78"/>
  <c r="J80" s="1"/>
  <c r="E78"/>
  <c r="E80" s="1"/>
  <c r="E263" s="1"/>
  <c r="C78"/>
  <c r="B71"/>
  <c r="B262" s="1"/>
  <c r="N68"/>
  <c r="N71" s="1"/>
  <c r="M68"/>
  <c r="M71" s="1"/>
  <c r="M262" s="1"/>
  <c r="K68"/>
  <c r="K71" s="1"/>
  <c r="J68"/>
  <c r="J71" s="1"/>
  <c r="J262" s="1"/>
  <c r="F68"/>
  <c r="F71" s="1"/>
  <c r="F262" s="1"/>
  <c r="E68"/>
  <c r="E71" s="1"/>
  <c r="E262" s="1"/>
  <c r="D68"/>
  <c r="C68"/>
  <c r="B59"/>
  <c r="B261" s="1"/>
  <c r="N56"/>
  <c r="K56"/>
  <c r="K59" s="1"/>
  <c r="F56"/>
  <c r="F59" s="1"/>
  <c r="F261" s="1"/>
  <c r="D56"/>
  <c r="B38"/>
  <c r="B260" s="1"/>
  <c r="N35"/>
  <c r="M35"/>
  <c r="M38" s="1"/>
  <c r="M260" s="1"/>
  <c r="K35"/>
  <c r="K38" s="1"/>
  <c r="J35"/>
  <c r="J38" s="1"/>
  <c r="J260" s="1"/>
  <c r="F35"/>
  <c r="E35"/>
  <c r="E38" s="1"/>
  <c r="E260" s="1"/>
  <c r="D35"/>
  <c r="C35"/>
  <c r="M27"/>
  <c r="M28" s="1"/>
  <c r="M259" s="1"/>
  <c r="J27"/>
  <c r="E27"/>
  <c r="E28" s="1"/>
  <c r="E259" s="1"/>
  <c r="C27"/>
  <c r="M19"/>
  <c r="M21" s="1"/>
  <c r="M258" s="1"/>
  <c r="J19"/>
  <c r="J21" s="1"/>
  <c r="J258" s="1"/>
  <c r="Q258"/>
  <c r="E19"/>
  <c r="E21" s="1"/>
  <c r="E258" s="1"/>
  <c r="C19"/>
  <c r="C13"/>
  <c r="B10"/>
  <c r="B13" s="1"/>
  <c r="B257" s="1"/>
  <c r="P144" l="1"/>
  <c r="P145" s="1"/>
  <c r="P269" s="1"/>
  <c r="E277"/>
  <c r="G27"/>
  <c r="P27" s="1"/>
  <c r="Q122"/>
  <c r="O265"/>
  <c r="L302"/>
  <c r="K324"/>
  <c r="Q324" s="1"/>
  <c r="O304"/>
  <c r="O324"/>
  <c r="O10"/>
  <c r="L152"/>
  <c r="L304"/>
  <c r="C38"/>
  <c r="G35"/>
  <c r="P35" s="1"/>
  <c r="C80"/>
  <c r="G78"/>
  <c r="P78" s="1"/>
  <c r="R78" s="1"/>
  <c r="C204"/>
  <c r="G201"/>
  <c r="P201" s="1"/>
  <c r="O218"/>
  <c r="N274"/>
  <c r="O274" s="1"/>
  <c r="I36"/>
  <c r="F38"/>
  <c r="F260" s="1"/>
  <c r="O35"/>
  <c r="N38"/>
  <c r="K262"/>
  <c r="L262" s="1"/>
  <c r="L71"/>
  <c r="O78"/>
  <c r="M80"/>
  <c r="D154"/>
  <c r="H152"/>
  <c r="Q152" s="1"/>
  <c r="D163"/>
  <c r="H161"/>
  <c r="Q161" s="1"/>
  <c r="N204"/>
  <c r="O201"/>
  <c r="K275"/>
  <c r="L275" s="1"/>
  <c r="L231"/>
  <c r="R242"/>
  <c r="Q244"/>
  <c r="C257"/>
  <c r="G13"/>
  <c r="L27"/>
  <c r="J28"/>
  <c r="J263"/>
  <c r="L263" s="1"/>
  <c r="L80"/>
  <c r="C137"/>
  <c r="C268" s="1"/>
  <c r="G135"/>
  <c r="C154"/>
  <c r="G152"/>
  <c r="P152" s="1"/>
  <c r="C163"/>
  <c r="G161"/>
  <c r="P161" s="1"/>
  <c r="H216"/>
  <c r="Q216" s="1"/>
  <c r="D218"/>
  <c r="L218"/>
  <c r="K274"/>
  <c r="L274" s="1"/>
  <c r="C231"/>
  <c r="G229"/>
  <c r="P229" s="1"/>
  <c r="L135"/>
  <c r="K137"/>
  <c r="Q135"/>
  <c r="O259"/>
  <c r="P298"/>
  <c r="O28"/>
  <c r="L10"/>
  <c r="N59"/>
  <c r="L144"/>
  <c r="J145"/>
  <c r="O154"/>
  <c r="N270"/>
  <c r="O270" s="1"/>
  <c r="K261"/>
  <c r="L261" s="1"/>
  <c r="L59"/>
  <c r="D71"/>
  <c r="H68"/>
  <c r="Q68" s="1"/>
  <c r="C101"/>
  <c r="G99"/>
  <c r="P99" s="1"/>
  <c r="L163"/>
  <c r="K271"/>
  <c r="L271" s="1"/>
  <c r="P244"/>
  <c r="G276"/>
  <c r="I244"/>
  <c r="C71"/>
  <c r="G68"/>
  <c r="P68" s="1"/>
  <c r="D38"/>
  <c r="H35"/>
  <c r="Q35" s="1"/>
  <c r="K260"/>
  <c r="L38"/>
  <c r="D59"/>
  <c r="H56"/>
  <c r="Q56" s="1"/>
  <c r="N262"/>
  <c r="O262" s="1"/>
  <c r="O71"/>
  <c r="H99"/>
  <c r="Q99" s="1"/>
  <c r="F101"/>
  <c r="C267"/>
  <c r="G122"/>
  <c r="I122" s="1"/>
  <c r="O145"/>
  <c r="M269"/>
  <c r="O269" s="1"/>
  <c r="J270"/>
  <c r="L270" s="1"/>
  <c r="L154"/>
  <c r="N271"/>
  <c r="O271" s="1"/>
  <c r="O163"/>
  <c r="H201"/>
  <c r="D204"/>
  <c r="L201"/>
  <c r="K204"/>
  <c r="C218"/>
  <c r="G216"/>
  <c r="P216" s="1"/>
  <c r="F231"/>
  <c r="H229"/>
  <c r="N231"/>
  <c r="O229"/>
  <c r="G298"/>
  <c r="I324" s="1"/>
  <c r="O258"/>
  <c r="L258"/>
  <c r="C21"/>
  <c r="G19"/>
  <c r="P19" s="1"/>
  <c r="K276"/>
  <c r="L276" s="1"/>
  <c r="F276"/>
  <c r="N276"/>
  <c r="O276" s="1"/>
  <c r="R304"/>
  <c r="I304"/>
  <c r="R202"/>
  <c r="R162"/>
  <c r="R153"/>
  <c r="Q302"/>
  <c r="P302"/>
  <c r="R132"/>
  <c r="R119"/>
  <c r="H267"/>
  <c r="L267"/>
  <c r="N267"/>
  <c r="O122"/>
  <c r="R107"/>
  <c r="R108"/>
  <c r="P315"/>
  <c r="R315" s="1"/>
  <c r="P318"/>
  <c r="R318" s="1"/>
  <c r="P264"/>
  <c r="R264" s="1"/>
  <c r="R79"/>
  <c r="R55"/>
  <c r="P310"/>
  <c r="R310" s="1"/>
  <c r="R51"/>
  <c r="P309"/>
  <c r="R309" s="1"/>
  <c r="R50"/>
  <c r="P307"/>
  <c r="R307" s="1"/>
  <c r="R54"/>
  <c r="P300"/>
  <c r="R300" s="1"/>
  <c r="Q259"/>
  <c r="R20"/>
  <c r="Q301"/>
  <c r="P301"/>
  <c r="B277"/>
  <c r="D276"/>
  <c r="L229"/>
  <c r="O56"/>
  <c r="L56"/>
  <c r="O68"/>
  <c r="L68"/>
  <c r="L78"/>
  <c r="R184"/>
  <c r="O144"/>
  <c r="L172"/>
  <c r="I7"/>
  <c r="I10" s="1"/>
  <c r="Q7"/>
  <c r="Q313"/>
  <c r="I27"/>
  <c r="H144"/>
  <c r="H145" s="1"/>
  <c r="O216"/>
  <c r="R8"/>
  <c r="R11"/>
  <c r="O152"/>
  <c r="G144"/>
  <c r="G145" s="1"/>
  <c r="G269" s="1"/>
  <c r="O99"/>
  <c r="O101" s="1"/>
  <c r="C59"/>
  <c r="L35"/>
  <c r="O27"/>
  <c r="L19"/>
  <c r="L21" s="1"/>
  <c r="O19"/>
  <c r="O21" s="1"/>
  <c r="G172"/>
  <c r="G272" s="1"/>
  <c r="I272" s="1"/>
  <c r="O172"/>
  <c r="L99"/>
  <c r="L101" s="1"/>
  <c r="C28"/>
  <c r="O161"/>
  <c r="L216"/>
  <c r="C112"/>
  <c r="L161"/>
  <c r="R244" l="1"/>
  <c r="Q144"/>
  <c r="R144" s="1"/>
  <c r="I229"/>
  <c r="I99"/>
  <c r="I101" s="1"/>
  <c r="I201"/>
  <c r="L324"/>
  <c r="I298"/>
  <c r="I152"/>
  <c r="K273"/>
  <c r="L273" s="1"/>
  <c r="L204"/>
  <c r="C262"/>
  <c r="G71"/>
  <c r="N261"/>
  <c r="O261" s="1"/>
  <c r="O59"/>
  <c r="L137"/>
  <c r="K268"/>
  <c r="L268" s="1"/>
  <c r="Q137"/>
  <c r="J259"/>
  <c r="L28"/>
  <c r="G218"/>
  <c r="C274"/>
  <c r="C275"/>
  <c r="G231"/>
  <c r="G204"/>
  <c r="C273"/>
  <c r="C266"/>
  <c r="G112"/>
  <c r="H269"/>
  <c r="I269" s="1"/>
  <c r="I145"/>
  <c r="O231"/>
  <c r="N275"/>
  <c r="O275" s="1"/>
  <c r="H204"/>
  <c r="Q204" s="1"/>
  <c r="Q273" s="1"/>
  <c r="D273"/>
  <c r="G267"/>
  <c r="I267" s="1"/>
  <c r="P122"/>
  <c r="P267" s="1"/>
  <c r="D261"/>
  <c r="H59"/>
  <c r="H261" s="1"/>
  <c r="D260"/>
  <c r="H38"/>
  <c r="J269"/>
  <c r="L269" s="1"/>
  <c r="L145"/>
  <c r="D274"/>
  <c r="H218"/>
  <c r="P13"/>
  <c r="G257"/>
  <c r="I257" s="1"/>
  <c r="I13"/>
  <c r="N273"/>
  <c r="O273" s="1"/>
  <c r="O204"/>
  <c r="H154"/>
  <c r="D270"/>
  <c r="Q229"/>
  <c r="F265"/>
  <c r="H101"/>
  <c r="L260"/>
  <c r="G137"/>
  <c r="P135"/>
  <c r="R135" s="1"/>
  <c r="I135"/>
  <c r="D271"/>
  <c r="H163"/>
  <c r="M263"/>
  <c r="O80"/>
  <c r="N260"/>
  <c r="O38"/>
  <c r="G101"/>
  <c r="C265"/>
  <c r="C270"/>
  <c r="G154"/>
  <c r="C260"/>
  <c r="G38"/>
  <c r="Q145"/>
  <c r="C259"/>
  <c r="G28"/>
  <c r="R7"/>
  <c r="Q298"/>
  <c r="F275"/>
  <c r="H231"/>
  <c r="Q231" s="1"/>
  <c r="Q275" s="1"/>
  <c r="H71"/>
  <c r="D262"/>
  <c r="G163"/>
  <c r="C271"/>
  <c r="G80"/>
  <c r="C263"/>
  <c r="I78"/>
  <c r="Q201"/>
  <c r="R201" s="1"/>
  <c r="G59"/>
  <c r="C261"/>
  <c r="I19"/>
  <c r="I21" s="1"/>
  <c r="C258"/>
  <c r="G21"/>
  <c r="P322"/>
  <c r="P313"/>
  <c r="R313" s="1"/>
  <c r="R152"/>
  <c r="R302"/>
  <c r="O267"/>
  <c r="Q267"/>
  <c r="R109"/>
  <c r="R36"/>
  <c r="Q323"/>
  <c r="R323" s="1"/>
  <c r="R301"/>
  <c r="Q257"/>
  <c r="R12"/>
  <c r="P257"/>
  <c r="I56"/>
  <c r="I68"/>
  <c r="I161"/>
  <c r="I144"/>
  <c r="R9"/>
  <c r="R10" s="1"/>
  <c r="I35"/>
  <c r="R99"/>
  <c r="R101" s="1"/>
  <c r="I216"/>
  <c r="I172"/>
  <c r="P172"/>
  <c r="P272" s="1"/>
  <c r="R272" s="1"/>
  <c r="R19"/>
  <c r="R21" s="1"/>
  <c r="C277" l="1"/>
  <c r="D277"/>
  <c r="K277"/>
  <c r="R122"/>
  <c r="F277"/>
  <c r="R267"/>
  <c r="G265"/>
  <c r="P101"/>
  <c r="P265" s="1"/>
  <c r="O263"/>
  <c r="M277"/>
  <c r="H265"/>
  <c r="I265" s="1"/>
  <c r="Q101"/>
  <c r="Q265" s="1"/>
  <c r="R265" s="1"/>
  <c r="G259"/>
  <c r="I259" s="1"/>
  <c r="P28"/>
  <c r="I28"/>
  <c r="I154"/>
  <c r="H270"/>
  <c r="Q154"/>
  <c r="Q270" s="1"/>
  <c r="P112"/>
  <c r="R112" s="1"/>
  <c r="G266"/>
  <c r="I266" s="1"/>
  <c r="I112"/>
  <c r="P231"/>
  <c r="R231" s="1"/>
  <c r="G275"/>
  <c r="G262"/>
  <c r="P71"/>
  <c r="P262" s="1"/>
  <c r="R262" s="1"/>
  <c r="P80"/>
  <c r="G263"/>
  <c r="I263" s="1"/>
  <c r="I80"/>
  <c r="H262"/>
  <c r="Q71"/>
  <c r="Q262" s="1"/>
  <c r="I71"/>
  <c r="O260"/>
  <c r="N277"/>
  <c r="I218"/>
  <c r="H274"/>
  <c r="Q218"/>
  <c r="H260"/>
  <c r="Q38"/>
  <c r="I38"/>
  <c r="P204"/>
  <c r="P273" s="1"/>
  <c r="R273" s="1"/>
  <c r="G273"/>
  <c r="P218"/>
  <c r="P274" s="1"/>
  <c r="G274"/>
  <c r="I274" s="1"/>
  <c r="P163"/>
  <c r="P271" s="1"/>
  <c r="G271"/>
  <c r="L259"/>
  <c r="J277"/>
  <c r="L277" s="1"/>
  <c r="I231"/>
  <c r="H275"/>
  <c r="G260"/>
  <c r="P38"/>
  <c r="P260" s="1"/>
  <c r="R298"/>
  <c r="R145"/>
  <c r="Q269"/>
  <c r="R269" s="1"/>
  <c r="P154"/>
  <c r="P270" s="1"/>
  <c r="G270"/>
  <c r="H271"/>
  <c r="I163"/>
  <c r="Q163"/>
  <c r="P137"/>
  <c r="P268" s="1"/>
  <c r="R268" s="1"/>
  <c r="G268"/>
  <c r="I268" s="1"/>
  <c r="I137"/>
  <c r="I204"/>
  <c r="H273"/>
  <c r="I273" s="1"/>
  <c r="Q268"/>
  <c r="Q59"/>
  <c r="Q261" s="1"/>
  <c r="I59"/>
  <c r="P59"/>
  <c r="P261" s="1"/>
  <c r="G261"/>
  <c r="I261" s="1"/>
  <c r="P21"/>
  <c r="P258" s="1"/>
  <c r="G258"/>
  <c r="H276"/>
  <c r="I276" s="1"/>
  <c r="Q276"/>
  <c r="R229"/>
  <c r="R216"/>
  <c r="R161"/>
  <c r="R68"/>
  <c r="R35"/>
  <c r="R257"/>
  <c r="R13"/>
  <c r="R56"/>
  <c r="R172"/>
  <c r="R27"/>
  <c r="R204" l="1"/>
  <c r="H277"/>
  <c r="Q277" s="1"/>
  <c r="R59"/>
  <c r="P266"/>
  <c r="R266" s="1"/>
  <c r="I275"/>
  <c r="R270"/>
  <c r="O277"/>
  <c r="P259"/>
  <c r="R259" s="1"/>
  <c r="R28"/>
  <c r="R137"/>
  <c r="I271"/>
  <c r="R154"/>
  <c r="P275"/>
  <c r="R275" s="1"/>
  <c r="P263"/>
  <c r="R263" s="1"/>
  <c r="R80"/>
  <c r="I260"/>
  <c r="R71"/>
  <c r="R261"/>
  <c r="I262"/>
  <c r="I270"/>
  <c r="R258"/>
  <c r="I258"/>
  <c r="G277"/>
  <c r="P277" s="1"/>
  <c r="P276"/>
  <c r="R276" s="1"/>
  <c r="Q274"/>
  <c r="R274" s="1"/>
  <c r="R218"/>
  <c r="Q271"/>
  <c r="R271" s="1"/>
  <c r="R163"/>
  <c r="R37"/>
  <c r="Q322"/>
  <c r="E20" i="24"/>
  <c r="D20"/>
  <c r="C20"/>
  <c r="I20" i="23"/>
  <c r="D18" i="8"/>
  <c r="C18"/>
  <c r="L18" i="7"/>
  <c r="C18"/>
  <c r="J18" i="6"/>
  <c r="I18"/>
  <c r="H18"/>
  <c r="G18"/>
  <c r="E18"/>
  <c r="D18"/>
  <c r="M26" i="26"/>
  <c r="L26"/>
  <c r="M25"/>
  <c r="L25"/>
  <c r="M24"/>
  <c r="L24"/>
  <c r="M23"/>
  <c r="L23"/>
  <c r="M21"/>
  <c r="L21"/>
  <c r="E21"/>
  <c r="M18"/>
  <c r="L18"/>
  <c r="M17"/>
  <c r="L17"/>
  <c r="M16"/>
  <c r="L16"/>
  <c r="M15"/>
  <c r="L15"/>
  <c r="M10"/>
  <c r="L10"/>
  <c r="M8"/>
  <c r="L8"/>
  <c r="M6"/>
  <c r="L6"/>
  <c r="O28" i="24"/>
  <c r="O27"/>
  <c r="N27"/>
  <c r="O26"/>
  <c r="N26"/>
  <c r="O25"/>
  <c r="N25"/>
  <c r="O24"/>
  <c r="N24"/>
  <c r="O22"/>
  <c r="N22"/>
  <c r="O19"/>
  <c r="N19"/>
  <c r="O18"/>
  <c r="N18"/>
  <c r="O17"/>
  <c r="N17"/>
  <c r="O16"/>
  <c r="N16"/>
  <c r="O11"/>
  <c r="N11"/>
  <c r="O9"/>
  <c r="N9"/>
  <c r="O7"/>
  <c r="N7"/>
  <c r="R30" i="22"/>
  <c r="Q30"/>
  <c r="R29"/>
  <c r="Q29"/>
  <c r="R28"/>
  <c r="Q28"/>
  <c r="J28"/>
  <c r="I28"/>
  <c r="R27"/>
  <c r="Q27"/>
  <c r="J27"/>
  <c r="I27"/>
  <c r="R26"/>
  <c r="Q26"/>
  <c r="J26"/>
  <c r="I26"/>
  <c r="R25"/>
  <c r="Q25"/>
  <c r="J25"/>
  <c r="I25"/>
  <c r="R23"/>
  <c r="Q23"/>
  <c r="J23"/>
  <c r="I23"/>
  <c r="R20"/>
  <c r="Q20"/>
  <c r="J20"/>
  <c r="I20"/>
  <c r="R19"/>
  <c r="Q19"/>
  <c r="Q18"/>
  <c r="N18"/>
  <c r="R18" s="1"/>
  <c r="J18"/>
  <c r="I18"/>
  <c r="R17"/>
  <c r="Q17"/>
  <c r="J17"/>
  <c r="I17"/>
  <c r="R12"/>
  <c r="Q12"/>
  <c r="J12"/>
  <c r="I12"/>
  <c r="R10"/>
  <c r="Q10"/>
  <c r="J10"/>
  <c r="I10"/>
  <c r="R8"/>
  <c r="Q8"/>
  <c r="J8"/>
  <c r="I8"/>
  <c r="J26" i="21"/>
  <c r="L25"/>
  <c r="J25"/>
  <c r="I25"/>
  <c r="J24"/>
  <c r="L23"/>
  <c r="J23"/>
  <c r="I23"/>
  <c r="J21"/>
  <c r="J18"/>
  <c r="I17"/>
  <c r="J15"/>
  <c r="J10"/>
  <c r="J8"/>
  <c r="J6"/>
  <c r="I277" i="42" l="1"/>
  <c r="R322"/>
  <c r="R324"/>
  <c r="Q260"/>
  <c r="R38"/>
  <c r="D15" i="27"/>
  <c r="K23" i="11"/>
  <c r="I23"/>
  <c r="H23"/>
  <c r="G23"/>
  <c r="K23" i="10"/>
  <c r="I23"/>
  <c r="H23"/>
  <c r="G23"/>
  <c r="Q23" i="9"/>
  <c r="I23" i="8"/>
  <c r="H23"/>
  <c r="G23"/>
  <c r="K23" i="7"/>
  <c r="H23"/>
  <c r="I23" s="1"/>
  <c r="G23"/>
  <c r="M23" i="6"/>
  <c r="L23"/>
  <c r="I23"/>
  <c r="D23"/>
  <c r="F23" s="1"/>
  <c r="I26" i="12"/>
  <c r="H26"/>
  <c r="G26"/>
  <c r="D26"/>
  <c r="K26" s="1"/>
  <c r="C26"/>
  <c r="K25"/>
  <c r="H25"/>
  <c r="K24"/>
  <c r="I24"/>
  <c r="H24"/>
  <c r="G24"/>
  <c r="K23"/>
  <c r="I23"/>
  <c r="H23"/>
  <c r="G23"/>
  <c r="K22"/>
  <c r="I22"/>
  <c r="H22"/>
  <c r="G22"/>
  <c r="K20"/>
  <c r="J20"/>
  <c r="I20"/>
  <c r="H20"/>
  <c r="G20"/>
  <c r="D20"/>
  <c r="C20"/>
  <c r="K17"/>
  <c r="I17"/>
  <c r="H17"/>
  <c r="G17"/>
  <c r="K16"/>
  <c r="I16"/>
  <c r="H16"/>
  <c r="G16"/>
  <c r="L15"/>
  <c r="H15"/>
  <c r="I15" s="1"/>
  <c r="D15"/>
  <c r="K15" s="1"/>
  <c r="K14"/>
  <c r="H14"/>
  <c r="I14" s="1"/>
  <c r="G14"/>
  <c r="K9"/>
  <c r="I9"/>
  <c r="H9"/>
  <c r="G9"/>
  <c r="K7"/>
  <c r="H7"/>
  <c r="I7" s="1"/>
  <c r="G7"/>
  <c r="H22" i="11"/>
  <c r="K22" i="10"/>
  <c r="I22"/>
  <c r="H22"/>
  <c r="G22"/>
  <c r="Q22" i="9"/>
  <c r="I22" i="8"/>
  <c r="H22"/>
  <c r="G22"/>
  <c r="K22" i="7"/>
  <c r="I22"/>
  <c r="H22"/>
  <c r="G22"/>
  <c r="M22" i="6"/>
  <c r="L22"/>
  <c r="I22"/>
  <c r="D22"/>
  <c r="H25" i="11"/>
  <c r="K24"/>
  <c r="H24"/>
  <c r="I24" s="1"/>
  <c r="G24"/>
  <c r="H20"/>
  <c r="K17"/>
  <c r="H17"/>
  <c r="K16"/>
  <c r="H16"/>
  <c r="I16" s="1"/>
  <c r="G16"/>
  <c r="H15"/>
  <c r="I15" s="1"/>
  <c r="G15"/>
  <c r="D15"/>
  <c r="K15" s="1"/>
  <c r="C15"/>
  <c r="K7"/>
  <c r="I7"/>
  <c r="H7"/>
  <c r="G7"/>
  <c r="H27" i="10"/>
  <c r="H26"/>
  <c r="I26" s="1"/>
  <c r="G26"/>
  <c r="K25"/>
  <c r="H25"/>
  <c r="K24"/>
  <c r="I24"/>
  <c r="H24"/>
  <c r="G24"/>
  <c r="K20"/>
  <c r="J20"/>
  <c r="H20"/>
  <c r="I20" s="1"/>
  <c r="G20"/>
  <c r="I17"/>
  <c r="H17"/>
  <c r="G17"/>
  <c r="H16"/>
  <c r="I15"/>
  <c r="H15"/>
  <c r="G15"/>
  <c r="K15"/>
  <c r="K14"/>
  <c r="H14"/>
  <c r="I14" s="1"/>
  <c r="G14"/>
  <c r="H9"/>
  <c r="K7"/>
  <c r="I7"/>
  <c r="H7"/>
  <c r="G7"/>
  <c r="Q27" i="9"/>
  <c r="Q26"/>
  <c r="Q25"/>
  <c r="Q24"/>
  <c r="Q20"/>
  <c r="L20"/>
  <c r="Q17"/>
  <c r="Q16"/>
  <c r="P15"/>
  <c r="L15"/>
  <c r="Q15" s="1"/>
  <c r="Q14"/>
  <c r="Q9"/>
  <c r="H25" i="8"/>
  <c r="I20"/>
  <c r="H20"/>
  <c r="G20"/>
  <c r="H17"/>
  <c r="H16"/>
  <c r="H15"/>
  <c r="H14"/>
  <c r="H9"/>
  <c r="I7"/>
  <c r="H7"/>
  <c r="G7"/>
  <c r="H28" i="7"/>
  <c r="H27"/>
  <c r="K26"/>
  <c r="H26"/>
  <c r="I26" s="1"/>
  <c r="G26"/>
  <c r="H25"/>
  <c r="K20"/>
  <c r="I20"/>
  <c r="H20"/>
  <c r="G20"/>
  <c r="K17"/>
  <c r="H17"/>
  <c r="I17" s="1"/>
  <c r="G17"/>
  <c r="K16"/>
  <c r="H16"/>
  <c r="I16" s="1"/>
  <c r="G16"/>
  <c r="K15"/>
  <c r="H15"/>
  <c r="I15" s="1"/>
  <c r="G15"/>
  <c r="K14"/>
  <c r="H14"/>
  <c r="I14" s="1"/>
  <c r="G14"/>
  <c r="K9"/>
  <c r="H9"/>
  <c r="K7"/>
  <c r="I7"/>
  <c r="H7"/>
  <c r="G7"/>
  <c r="D27" i="6"/>
  <c r="M25"/>
  <c r="D25"/>
  <c r="F25" s="1"/>
  <c r="M17"/>
  <c r="L17"/>
  <c r="I17"/>
  <c r="D17"/>
  <c r="F17" s="1"/>
  <c r="M16"/>
  <c r="L16"/>
  <c r="I16"/>
  <c r="D16"/>
  <c r="F16" s="1"/>
  <c r="M14"/>
  <c r="L14"/>
  <c r="I14"/>
  <c r="D14"/>
  <c r="F14" s="1"/>
  <c r="M9"/>
  <c r="L9"/>
  <c r="I9"/>
  <c r="D9"/>
  <c r="F9" s="1"/>
  <c r="I6"/>
  <c r="I7"/>
  <c r="M7"/>
  <c r="L6"/>
  <c r="L7"/>
  <c r="D7"/>
  <c r="F7" s="1"/>
  <c r="R260" i="42" l="1"/>
  <c r="R277"/>
  <c r="H20" i="6"/>
  <c r="G20"/>
  <c r="D20"/>
  <c r="G6" i="7" l="1"/>
  <c r="E6"/>
  <c r="C6"/>
  <c r="J6" i="6"/>
  <c r="G6"/>
  <c r="D6"/>
  <c r="C5" i="7"/>
  <c r="G21" i="31"/>
  <c r="F21"/>
  <c r="C21"/>
  <c r="K30" i="29"/>
  <c r="I30"/>
  <c r="E30"/>
  <c r="K27"/>
  <c r="J27"/>
  <c r="J30" s="1"/>
  <c r="I27"/>
  <c r="F27"/>
  <c r="F30" s="1"/>
  <c r="E27"/>
  <c r="C27"/>
  <c r="C30" s="1"/>
  <c r="J29" i="28"/>
  <c r="I29"/>
  <c r="J28"/>
  <c r="I28"/>
  <c r="H27"/>
  <c r="H30" s="1"/>
  <c r="G27"/>
  <c r="G30" s="1"/>
  <c r="F27"/>
  <c r="F30" s="1"/>
  <c r="E27"/>
  <c r="E30" s="1"/>
  <c r="D27"/>
  <c r="D30" s="1"/>
  <c r="C27"/>
  <c r="C30" s="1"/>
  <c r="J25"/>
  <c r="I25"/>
  <c r="J24"/>
  <c r="I24"/>
  <c r="J23"/>
  <c r="I23"/>
  <c r="J22"/>
  <c r="I22"/>
  <c r="J21"/>
  <c r="I21"/>
  <c r="J20"/>
  <c r="I20"/>
  <c r="J19"/>
  <c r="J27" s="1"/>
  <c r="J30" s="1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I27" s="1"/>
  <c r="I30" s="1"/>
  <c r="J31" i="27"/>
  <c r="I31"/>
  <c r="J30"/>
  <c r="I30"/>
  <c r="H29"/>
  <c r="H32" s="1"/>
  <c r="G29"/>
  <c r="G32" s="1"/>
  <c r="F29"/>
  <c r="F32" s="1"/>
  <c r="E29"/>
  <c r="E32" s="1"/>
  <c r="D29"/>
  <c r="D32" s="1"/>
  <c r="C29"/>
  <c r="C32" s="1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M30" i="26"/>
  <c r="L30"/>
  <c r="M29"/>
  <c r="L29"/>
  <c r="K28"/>
  <c r="K31" s="1"/>
  <c r="J28"/>
  <c r="J31" s="1"/>
  <c r="I28"/>
  <c r="I31" s="1"/>
  <c r="H28"/>
  <c r="H31" s="1"/>
  <c r="G28"/>
  <c r="G31" s="1"/>
  <c r="F28"/>
  <c r="F31" s="1"/>
  <c r="E28"/>
  <c r="E31" s="1"/>
  <c r="D28"/>
  <c r="D31" s="1"/>
  <c r="C28"/>
  <c r="C31" s="1"/>
  <c r="B28"/>
  <c r="B31" s="1"/>
  <c r="M22"/>
  <c r="L22"/>
  <c r="M20"/>
  <c r="L20"/>
  <c r="M19"/>
  <c r="L19"/>
  <c r="M14"/>
  <c r="L14"/>
  <c r="M13"/>
  <c r="L13"/>
  <c r="M12"/>
  <c r="L12"/>
  <c r="M11"/>
  <c r="L11"/>
  <c r="M7"/>
  <c r="L7"/>
  <c r="M27" i="25"/>
  <c r="M30" s="1"/>
  <c r="L27"/>
  <c r="L30" s="1"/>
  <c r="K27"/>
  <c r="K30" s="1"/>
  <c r="J27"/>
  <c r="J30" s="1"/>
  <c r="G27"/>
  <c r="G30" s="1"/>
  <c r="F27"/>
  <c r="F30" s="1"/>
  <c r="E27"/>
  <c r="E30" s="1"/>
  <c r="D27"/>
  <c r="D30" s="1"/>
  <c r="O33" i="24"/>
  <c r="N33"/>
  <c r="O32"/>
  <c r="N32"/>
  <c r="M31"/>
  <c r="M34" s="1"/>
  <c r="L31"/>
  <c r="L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C31"/>
  <c r="C34" s="1"/>
  <c r="B31"/>
  <c r="B34" s="1"/>
  <c r="O30"/>
  <c r="O29"/>
  <c r="N29"/>
  <c r="O23"/>
  <c r="N23"/>
  <c r="O21"/>
  <c r="O20"/>
  <c r="N20"/>
  <c r="O15"/>
  <c r="N15"/>
  <c r="O14"/>
  <c r="N14"/>
  <c r="O13"/>
  <c r="N13"/>
  <c r="O12"/>
  <c r="N12"/>
  <c r="O10"/>
  <c r="N10"/>
  <c r="O8"/>
  <c r="N8"/>
  <c r="I30" i="23"/>
  <c r="I33" s="1"/>
  <c r="H30"/>
  <c r="H33" s="1"/>
  <c r="G30"/>
  <c r="G33" s="1"/>
  <c r="F30"/>
  <c r="F33" s="1"/>
  <c r="E30"/>
  <c r="E33" s="1"/>
  <c r="D30"/>
  <c r="D33" s="1"/>
  <c r="D34" i="22"/>
  <c r="R33"/>
  <c r="Q33"/>
  <c r="J33"/>
  <c r="I33"/>
  <c r="R32"/>
  <c r="Q32"/>
  <c r="J32"/>
  <c r="I32"/>
  <c r="O31"/>
  <c r="O34" s="1"/>
  <c r="N31"/>
  <c r="N34" s="1"/>
  <c r="M31"/>
  <c r="M34" s="1"/>
  <c r="K31"/>
  <c r="H31"/>
  <c r="H34" s="1"/>
  <c r="G31"/>
  <c r="G34" s="1"/>
  <c r="F31"/>
  <c r="E31"/>
  <c r="P31"/>
  <c r="P34" s="1"/>
  <c r="R22"/>
  <c r="Q22"/>
  <c r="J22"/>
  <c r="I22"/>
  <c r="R21"/>
  <c r="Q21"/>
  <c r="J21"/>
  <c r="I21"/>
  <c r="R16"/>
  <c r="Q16"/>
  <c r="J16"/>
  <c r="I16"/>
  <c r="R15"/>
  <c r="Q15"/>
  <c r="J15"/>
  <c r="R14"/>
  <c r="Q14"/>
  <c r="J14"/>
  <c r="I14"/>
  <c r="R13"/>
  <c r="Q13"/>
  <c r="J13"/>
  <c r="I13"/>
  <c r="R11"/>
  <c r="Q11"/>
  <c r="J11"/>
  <c r="I11"/>
  <c r="R9"/>
  <c r="Q9"/>
  <c r="J9"/>
  <c r="I9"/>
  <c r="J31" i="21"/>
  <c r="I31"/>
  <c r="L30"/>
  <c r="I30"/>
  <c r="K29"/>
  <c r="K32" s="1"/>
  <c r="H29"/>
  <c r="H32" s="1"/>
  <c r="I32" s="1"/>
  <c r="G29"/>
  <c r="G32" s="1"/>
  <c r="F29"/>
  <c r="F32" s="1"/>
  <c r="E29"/>
  <c r="E32" s="1"/>
  <c r="D29"/>
  <c r="D32" s="1"/>
  <c r="C29"/>
  <c r="C32" s="1"/>
  <c r="J22"/>
  <c r="L20"/>
  <c r="J20"/>
  <c r="I20"/>
  <c r="J19"/>
  <c r="I19"/>
  <c r="L14"/>
  <c r="J14"/>
  <c r="I14"/>
  <c r="L13"/>
  <c r="J13"/>
  <c r="I13"/>
  <c r="J12"/>
  <c r="J11"/>
  <c r="L9"/>
  <c r="J9"/>
  <c r="L7"/>
  <c r="J7"/>
  <c r="I7"/>
  <c r="G29" i="20"/>
  <c r="G32" s="1"/>
  <c r="F29"/>
  <c r="F32" s="1"/>
  <c r="E29"/>
  <c r="E32" s="1"/>
  <c r="D29"/>
  <c r="D32" s="1"/>
  <c r="O29" i="19"/>
  <c r="N28"/>
  <c r="M28"/>
  <c r="M31" s="1"/>
  <c r="L28"/>
  <c r="L31" s="1"/>
  <c r="K28"/>
  <c r="K31" s="1"/>
  <c r="J28"/>
  <c r="J31" s="1"/>
  <c r="F28"/>
  <c r="F31" s="1"/>
  <c r="E28"/>
  <c r="E31" s="1"/>
  <c r="O27"/>
  <c r="O26"/>
  <c r="H26"/>
  <c r="O25"/>
  <c r="H25"/>
  <c r="O24"/>
  <c r="H24"/>
  <c r="O23"/>
  <c r="H23"/>
  <c r="O22"/>
  <c r="H22"/>
  <c r="O21"/>
  <c r="O28" s="1"/>
  <c r="O31" s="1"/>
  <c r="H21"/>
  <c r="H20"/>
  <c r="O19"/>
  <c r="H19"/>
  <c r="O18"/>
  <c r="H18"/>
  <c r="O17"/>
  <c r="H17"/>
  <c r="O16"/>
  <c r="H16"/>
  <c r="O15"/>
  <c r="H15"/>
  <c r="O14"/>
  <c r="H14"/>
  <c r="O13"/>
  <c r="H13"/>
  <c r="O12"/>
  <c r="H12"/>
  <c r="O11"/>
  <c r="H11"/>
  <c r="O10"/>
  <c r="H10"/>
  <c r="O9"/>
  <c r="H9"/>
  <c r="O8"/>
  <c r="H8"/>
  <c r="O7"/>
  <c r="H7"/>
  <c r="O6"/>
  <c r="H6"/>
  <c r="H30" i="18"/>
  <c r="G30"/>
  <c r="H29"/>
  <c r="G29"/>
  <c r="M28"/>
  <c r="M31" s="1"/>
  <c r="L28"/>
  <c r="L31" s="1"/>
  <c r="K28"/>
  <c r="K31" s="1"/>
  <c r="J28"/>
  <c r="J31" s="1"/>
  <c r="F28"/>
  <c r="F31" s="1"/>
  <c r="E28"/>
  <c r="E31" s="1"/>
  <c r="D28"/>
  <c r="D31" s="1"/>
  <c r="C28"/>
  <c r="C31" s="1"/>
  <c r="H25"/>
  <c r="G25"/>
  <c r="H23"/>
  <c r="G23"/>
  <c r="O22"/>
  <c r="H22"/>
  <c r="G22"/>
  <c r="O21"/>
  <c r="H21"/>
  <c r="G21"/>
  <c r="H20"/>
  <c r="H17"/>
  <c r="H15"/>
  <c r="G15"/>
  <c r="H14"/>
  <c r="G14"/>
  <c r="H13"/>
  <c r="G13"/>
  <c r="H12"/>
  <c r="O11"/>
  <c r="H11"/>
  <c r="G11"/>
  <c r="H10"/>
  <c r="G10"/>
  <c r="H9"/>
  <c r="H8"/>
  <c r="G8"/>
  <c r="O7"/>
  <c r="O28" s="1"/>
  <c r="O31" s="1"/>
  <c r="H7"/>
  <c r="G7"/>
  <c r="H6"/>
  <c r="G6"/>
  <c r="H5"/>
  <c r="G5"/>
  <c r="K27" i="17"/>
  <c r="K30" s="1"/>
  <c r="J27"/>
  <c r="J30" s="1"/>
  <c r="I27"/>
  <c r="I30" s="1"/>
  <c r="H27"/>
  <c r="H30" s="1"/>
  <c r="G27"/>
  <c r="G30" s="1"/>
  <c r="F27"/>
  <c r="F30" s="1"/>
  <c r="E27"/>
  <c r="E30" s="1"/>
  <c r="D27"/>
  <c r="D30" s="1"/>
  <c r="C27"/>
  <c r="S23"/>
  <c r="R23"/>
  <c r="Q23"/>
  <c r="P23"/>
  <c r="K27" i="16"/>
  <c r="K30" s="1"/>
  <c r="J27"/>
  <c r="J30" s="1"/>
  <c r="I27"/>
  <c r="I30" s="1"/>
  <c r="H27"/>
  <c r="H30" s="1"/>
  <c r="G27"/>
  <c r="G30" s="1"/>
  <c r="F27"/>
  <c r="F30" s="1"/>
  <c r="E27"/>
  <c r="E30" s="1"/>
  <c r="D27"/>
  <c r="D30" s="1"/>
  <c r="S23"/>
  <c r="R23"/>
  <c r="Q23"/>
  <c r="P23"/>
  <c r="O23"/>
  <c r="G28" i="15"/>
  <c r="G31" s="1"/>
  <c r="F28"/>
  <c r="F31" s="1"/>
  <c r="E28"/>
  <c r="E31" s="1"/>
  <c r="D28"/>
  <c r="D31" s="1"/>
  <c r="C28"/>
  <c r="C31" s="1"/>
  <c r="S33" i="14"/>
  <c r="R33"/>
  <c r="M33"/>
  <c r="L33"/>
  <c r="S32"/>
  <c r="R32"/>
  <c r="M32"/>
  <c r="L32"/>
  <c r="Q31"/>
  <c r="Q34" s="1"/>
  <c r="P31"/>
  <c r="P34" s="1"/>
  <c r="O31"/>
  <c r="O34" s="1"/>
  <c r="N31"/>
  <c r="N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C31"/>
  <c r="C34" s="1"/>
  <c r="S29"/>
  <c r="S28"/>
  <c r="R28"/>
  <c r="M28"/>
  <c r="L28"/>
  <c r="S26"/>
  <c r="R26"/>
  <c r="M26"/>
  <c r="L26"/>
  <c r="S25"/>
  <c r="M25"/>
  <c r="L25"/>
  <c r="R24"/>
  <c r="M24"/>
  <c r="L24"/>
  <c r="S23"/>
  <c r="R23"/>
  <c r="M23"/>
  <c r="L23"/>
  <c r="S22"/>
  <c r="R22"/>
  <c r="M22"/>
  <c r="S21"/>
  <c r="R21"/>
  <c r="M21"/>
  <c r="S20"/>
  <c r="R20"/>
  <c r="M20"/>
  <c r="L20"/>
  <c r="S19"/>
  <c r="R19"/>
  <c r="M19"/>
  <c r="L19"/>
  <c r="S18"/>
  <c r="R18"/>
  <c r="M18"/>
  <c r="L18"/>
  <c r="S17"/>
  <c r="R17"/>
  <c r="M17"/>
  <c r="L17"/>
  <c r="S16"/>
  <c r="R16"/>
  <c r="M16"/>
  <c r="L16"/>
  <c r="S15"/>
  <c r="R15"/>
  <c r="M15"/>
  <c r="L15"/>
  <c r="S12"/>
  <c r="R12"/>
  <c r="M12"/>
  <c r="L12"/>
  <c r="S11"/>
  <c r="R11"/>
  <c r="S10"/>
  <c r="R10"/>
  <c r="M10"/>
  <c r="L10"/>
  <c r="S9"/>
  <c r="R9"/>
  <c r="M9"/>
  <c r="L9"/>
  <c r="S8"/>
  <c r="R8"/>
  <c r="M8"/>
  <c r="M31" s="1"/>
  <c r="L8"/>
  <c r="L31" s="1"/>
  <c r="L34" s="1"/>
  <c r="K30" i="12"/>
  <c r="I30"/>
  <c r="H30"/>
  <c r="G30"/>
  <c r="K29"/>
  <c r="I29"/>
  <c r="G29"/>
  <c r="L28"/>
  <c r="L31" s="1"/>
  <c r="J28"/>
  <c r="J31" s="1"/>
  <c r="F28"/>
  <c r="E28"/>
  <c r="E31" s="1"/>
  <c r="D28"/>
  <c r="D31" s="1"/>
  <c r="C28"/>
  <c r="C31" s="1"/>
  <c r="K21"/>
  <c r="H21"/>
  <c r="I21" s="1"/>
  <c r="G21"/>
  <c r="K19"/>
  <c r="H19"/>
  <c r="I19" s="1"/>
  <c r="G19"/>
  <c r="K18"/>
  <c r="H18"/>
  <c r="I18" s="1"/>
  <c r="G18"/>
  <c r="K8"/>
  <c r="I8"/>
  <c r="H8"/>
  <c r="G8"/>
  <c r="K6"/>
  <c r="H6"/>
  <c r="G6"/>
  <c r="K5"/>
  <c r="H5"/>
  <c r="I5" s="1"/>
  <c r="G5"/>
  <c r="K30" i="11"/>
  <c r="I30"/>
  <c r="H30"/>
  <c r="G30"/>
  <c r="K29"/>
  <c r="I29"/>
  <c r="H29"/>
  <c r="G29"/>
  <c r="L28"/>
  <c r="L31" s="1"/>
  <c r="L33" s="1"/>
  <c r="J28"/>
  <c r="J31" s="1"/>
  <c r="F28"/>
  <c r="F31" s="1"/>
  <c r="E28"/>
  <c r="E31" s="1"/>
  <c r="E33" s="1"/>
  <c r="D28"/>
  <c r="D31" s="1"/>
  <c r="D33" s="1"/>
  <c r="C28"/>
  <c r="C31" s="1"/>
  <c r="C33" s="1"/>
  <c r="K21"/>
  <c r="H21"/>
  <c r="I21" s="1"/>
  <c r="G21"/>
  <c r="K19"/>
  <c r="H19"/>
  <c r="I19" s="1"/>
  <c r="G19"/>
  <c r="H18"/>
  <c r="H13"/>
  <c r="K12"/>
  <c r="H12"/>
  <c r="I12" s="1"/>
  <c r="G12"/>
  <c r="K8"/>
  <c r="H8"/>
  <c r="K6"/>
  <c r="H6"/>
  <c r="I6" s="1"/>
  <c r="G6"/>
  <c r="K5"/>
  <c r="H5"/>
  <c r="I5" s="1"/>
  <c r="G5"/>
  <c r="K32" i="10"/>
  <c r="H32"/>
  <c r="I32" s="1"/>
  <c r="K30"/>
  <c r="I30"/>
  <c r="H30"/>
  <c r="G30"/>
  <c r="K29"/>
  <c r="I29"/>
  <c r="H29"/>
  <c r="G29"/>
  <c r="L28"/>
  <c r="L31" s="1"/>
  <c r="L33" s="1"/>
  <c r="J28"/>
  <c r="J31" s="1"/>
  <c r="F28"/>
  <c r="F31" s="1"/>
  <c r="E28"/>
  <c r="C28"/>
  <c r="C31" s="1"/>
  <c r="C33" s="1"/>
  <c r="K21"/>
  <c r="I21"/>
  <c r="H21"/>
  <c r="G21"/>
  <c r="H19"/>
  <c r="I19" s="1"/>
  <c r="G19"/>
  <c r="K18"/>
  <c r="H18"/>
  <c r="I18" s="1"/>
  <c r="G18"/>
  <c r="H13"/>
  <c r="K12"/>
  <c r="H12"/>
  <c r="I12" s="1"/>
  <c r="G12"/>
  <c r="K8"/>
  <c r="I8"/>
  <c r="H8"/>
  <c r="G8"/>
  <c r="K5"/>
  <c r="I5"/>
  <c r="H5"/>
  <c r="G5"/>
  <c r="Q32" i="9"/>
  <c r="Q30"/>
  <c r="Q29"/>
  <c r="P28"/>
  <c r="P31" s="1"/>
  <c r="P33" s="1"/>
  <c r="O28"/>
  <c r="O31" s="1"/>
  <c r="O33" s="1"/>
  <c r="N28"/>
  <c r="N31" s="1"/>
  <c r="N33" s="1"/>
  <c r="M28"/>
  <c r="M31" s="1"/>
  <c r="M33" s="1"/>
  <c r="L28"/>
  <c r="L31" s="1"/>
  <c r="L33" s="1"/>
  <c r="K28"/>
  <c r="K31" s="1"/>
  <c r="K33" s="1"/>
  <c r="J28"/>
  <c r="J31" s="1"/>
  <c r="J33" s="1"/>
  <c r="I28"/>
  <c r="I31" s="1"/>
  <c r="I33" s="1"/>
  <c r="H28"/>
  <c r="H31" s="1"/>
  <c r="H33" s="1"/>
  <c r="G28"/>
  <c r="G31" s="1"/>
  <c r="G33" s="1"/>
  <c r="F28"/>
  <c r="F31" s="1"/>
  <c r="F33" s="1"/>
  <c r="E28"/>
  <c r="E31" s="1"/>
  <c r="E33" s="1"/>
  <c r="D28"/>
  <c r="D31" s="1"/>
  <c r="D33" s="1"/>
  <c r="Q19"/>
  <c r="Q18"/>
  <c r="Q13"/>
  <c r="Q12"/>
  <c r="Q8"/>
  <c r="C28"/>
  <c r="H29" i="8"/>
  <c r="I29" s="1"/>
  <c r="G29"/>
  <c r="L28"/>
  <c r="L31" s="1"/>
  <c r="L33" s="1"/>
  <c r="J28"/>
  <c r="J31" s="1"/>
  <c r="J33" s="1"/>
  <c r="F28"/>
  <c r="E28"/>
  <c r="E31" s="1"/>
  <c r="E33" s="1"/>
  <c r="D28"/>
  <c r="C28"/>
  <c r="C31" s="1"/>
  <c r="C33" s="1"/>
  <c r="H21"/>
  <c r="I21" s="1"/>
  <c r="G21"/>
  <c r="H19"/>
  <c r="I19" s="1"/>
  <c r="G19"/>
  <c r="H18"/>
  <c r="I18" s="1"/>
  <c r="G18"/>
  <c r="H13"/>
  <c r="H12"/>
  <c r="I8"/>
  <c r="H8"/>
  <c r="G8"/>
  <c r="H6"/>
  <c r="K5"/>
  <c r="H5"/>
  <c r="E5" i="5"/>
  <c r="E26"/>
  <c r="E13"/>
  <c r="G269" i="1"/>
  <c r="D295"/>
  <c r="D292"/>
  <c r="F285"/>
  <c r="E285"/>
  <c r="F284"/>
  <c r="E284"/>
  <c r="F283"/>
  <c r="E283"/>
  <c r="F281"/>
  <c r="E281"/>
  <c r="F291"/>
  <c r="E291"/>
  <c r="F290"/>
  <c r="E290"/>
  <c r="F289"/>
  <c r="E289"/>
  <c r="F288"/>
  <c r="E288"/>
  <c r="F286"/>
  <c r="E286"/>
  <c r="F280"/>
  <c r="E280"/>
  <c r="F279"/>
  <c r="E279"/>
  <c r="F278"/>
  <c r="E278"/>
  <c r="F277"/>
  <c r="E277"/>
  <c r="F272"/>
  <c r="E272"/>
  <c r="F270"/>
  <c r="E270"/>
  <c r="E295"/>
  <c r="J34" i="7"/>
  <c r="H34"/>
  <c r="G34"/>
  <c r="F34"/>
  <c r="E34"/>
  <c r="I33"/>
  <c r="H33"/>
  <c r="G33"/>
  <c r="K31"/>
  <c r="H31"/>
  <c r="I31" s="1"/>
  <c r="G31"/>
  <c r="K30"/>
  <c r="I30"/>
  <c r="G30"/>
  <c r="E29"/>
  <c r="E32" s="1"/>
  <c r="E35" s="1"/>
  <c r="D29"/>
  <c r="D32" s="1"/>
  <c r="D35" s="1"/>
  <c r="L29"/>
  <c r="L32" s="1"/>
  <c r="L35" s="1"/>
  <c r="F29"/>
  <c r="C29"/>
  <c r="C32" s="1"/>
  <c r="C35" s="1"/>
  <c r="K21"/>
  <c r="H21"/>
  <c r="I21" s="1"/>
  <c r="G21"/>
  <c r="K19"/>
  <c r="I19"/>
  <c r="H19"/>
  <c r="K18"/>
  <c r="H18"/>
  <c r="I18" s="1"/>
  <c r="G18"/>
  <c r="J13"/>
  <c r="J29" s="1"/>
  <c r="H13"/>
  <c r="K12"/>
  <c r="H12"/>
  <c r="I12" s="1"/>
  <c r="G12"/>
  <c r="K8"/>
  <c r="H8"/>
  <c r="I8" s="1"/>
  <c r="G8"/>
  <c r="K6"/>
  <c r="H6"/>
  <c r="I6" s="1"/>
  <c r="K5"/>
  <c r="H5"/>
  <c r="I5" s="1"/>
  <c r="G5"/>
  <c r="H35" i="6"/>
  <c r="M34"/>
  <c r="L34"/>
  <c r="K34"/>
  <c r="I34"/>
  <c r="D34"/>
  <c r="M33"/>
  <c r="L33"/>
  <c r="K33"/>
  <c r="I33"/>
  <c r="H33"/>
  <c r="H32"/>
  <c r="M31"/>
  <c r="L31"/>
  <c r="I31"/>
  <c r="F31"/>
  <c r="M30"/>
  <c r="L30"/>
  <c r="I30"/>
  <c r="F30"/>
  <c r="J29"/>
  <c r="J32" s="1"/>
  <c r="H29"/>
  <c r="E29"/>
  <c r="E32" s="1"/>
  <c r="M26"/>
  <c r="L26"/>
  <c r="G29"/>
  <c r="L21"/>
  <c r="I21"/>
  <c r="F21"/>
  <c r="M20"/>
  <c r="L20"/>
  <c r="I20"/>
  <c r="F20"/>
  <c r="M19"/>
  <c r="L19"/>
  <c r="I19"/>
  <c r="F19"/>
  <c r="L18"/>
  <c r="F18"/>
  <c r="M13"/>
  <c r="L13"/>
  <c r="H13"/>
  <c r="F13"/>
  <c r="M8"/>
  <c r="L8"/>
  <c r="I8"/>
  <c r="F8"/>
  <c r="M6"/>
  <c r="F6"/>
  <c r="M5"/>
  <c r="L5"/>
  <c r="K5"/>
  <c r="I5"/>
  <c r="F5"/>
  <c r="G34" i="5"/>
  <c r="J34" s="1"/>
  <c r="G33"/>
  <c r="J33" s="1"/>
  <c r="F32"/>
  <c r="F35" s="1"/>
  <c r="K31"/>
  <c r="E31"/>
  <c r="G30"/>
  <c r="E30"/>
  <c r="I29"/>
  <c r="I32" s="1"/>
  <c r="I35" s="1"/>
  <c r="F29"/>
  <c r="E27"/>
  <c r="E25"/>
  <c r="E23"/>
  <c r="E22"/>
  <c r="E20"/>
  <c r="E17"/>
  <c r="E16"/>
  <c r="E15"/>
  <c r="E14"/>
  <c r="E12"/>
  <c r="E9"/>
  <c r="E8"/>
  <c r="E7"/>
  <c r="E6"/>
  <c r="G5"/>
  <c r="E30" i="3"/>
  <c r="E33" s="1"/>
  <c r="D30"/>
  <c r="D33" s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/>
  <c r="G7"/>
  <c r="G6"/>
  <c r="F227" i="1"/>
  <c r="E227"/>
  <c r="F226"/>
  <c r="E226"/>
  <c r="F225"/>
  <c r="E225"/>
  <c r="F224"/>
  <c r="F223"/>
  <c r="E223"/>
  <c r="F222"/>
  <c r="E222"/>
  <c r="F221"/>
  <c r="E221"/>
  <c r="F220"/>
  <c r="E220"/>
  <c r="F219"/>
  <c r="E219"/>
  <c r="F218"/>
  <c r="E218"/>
  <c r="F217"/>
  <c r="E217"/>
  <c r="F216"/>
  <c r="E216"/>
  <c r="F215"/>
  <c r="E215"/>
  <c r="F214"/>
  <c r="E214"/>
  <c r="F213"/>
  <c r="E213"/>
  <c r="F212"/>
  <c r="G294"/>
  <c r="G268"/>
  <c r="G231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57"/>
  <c r="G144"/>
  <c r="G145"/>
  <c r="G146"/>
  <c r="G143"/>
  <c r="G135"/>
  <c r="G136"/>
  <c r="G137"/>
  <c r="G138"/>
  <c r="G139"/>
  <c r="G140"/>
  <c r="G133"/>
  <c r="G125"/>
  <c r="G126"/>
  <c r="G127"/>
  <c r="G128"/>
  <c r="G129"/>
  <c r="G130"/>
  <c r="G124"/>
  <c r="G120"/>
  <c r="G121"/>
  <c r="G119"/>
  <c r="G116"/>
  <c r="G115"/>
  <c r="G111"/>
  <c r="G112"/>
  <c r="G110"/>
  <c r="G107"/>
  <c r="G106"/>
  <c r="G94"/>
  <c r="G95"/>
  <c r="G96"/>
  <c r="G97"/>
  <c r="G98"/>
  <c r="G99"/>
  <c r="G93"/>
  <c r="G87"/>
  <c r="G88"/>
  <c r="G89"/>
  <c r="G90"/>
  <c r="G86"/>
  <c r="G79"/>
  <c r="G80"/>
  <c r="G81"/>
  <c r="G82"/>
  <c r="G83"/>
  <c r="G78"/>
  <c r="G74"/>
  <c r="G75"/>
  <c r="G73"/>
  <c r="G69"/>
  <c r="G70"/>
  <c r="G68"/>
  <c r="G56"/>
  <c r="G57"/>
  <c r="G58"/>
  <c r="G59"/>
  <c r="G60"/>
  <c r="G61"/>
  <c r="G62"/>
  <c r="G63"/>
  <c r="G64"/>
  <c r="G65"/>
  <c r="G55"/>
  <c r="G38"/>
  <c r="G39"/>
  <c r="G40"/>
  <c r="G41"/>
  <c r="G42"/>
  <c r="G36"/>
  <c r="G31"/>
  <c r="G32"/>
  <c r="G33"/>
  <c r="G30"/>
  <c r="G23"/>
  <c r="G24"/>
  <c r="G25"/>
  <c r="G26"/>
  <c r="G27"/>
  <c r="G22"/>
  <c r="G16"/>
  <c r="G17"/>
  <c r="G18"/>
  <c r="G19"/>
  <c r="G15"/>
  <c r="G12"/>
  <c r="G11"/>
  <c r="G7"/>
  <c r="G8"/>
  <c r="G6"/>
  <c r="D298" l="1"/>
  <c r="E232"/>
  <c r="F232"/>
  <c r="G228"/>
  <c r="G271"/>
  <c r="G213"/>
  <c r="G217"/>
  <c r="G221"/>
  <c r="G223"/>
  <c r="G225"/>
  <c r="G227"/>
  <c r="G229"/>
  <c r="G220"/>
  <c r="G216"/>
  <c r="G224"/>
  <c r="G215"/>
  <c r="G212"/>
  <c r="G222"/>
  <c r="G226"/>
  <c r="G230"/>
  <c r="G214"/>
  <c r="G218"/>
  <c r="G270"/>
  <c r="G272"/>
  <c r="G219"/>
  <c r="G273"/>
  <c r="O31" i="24"/>
  <c r="O34" s="1"/>
  <c r="G295" i="1"/>
  <c r="H7" i="5"/>
  <c r="K7"/>
  <c r="H9"/>
  <c r="K9"/>
  <c r="H13"/>
  <c r="H15"/>
  <c r="K15"/>
  <c r="H17"/>
  <c r="K17"/>
  <c r="H22"/>
  <c r="K22"/>
  <c r="H25"/>
  <c r="K25"/>
  <c r="H12"/>
  <c r="K12"/>
  <c r="H24"/>
  <c r="H6"/>
  <c r="K6"/>
  <c r="H8"/>
  <c r="K8"/>
  <c r="H14"/>
  <c r="K14"/>
  <c r="H16"/>
  <c r="K16"/>
  <c r="H20"/>
  <c r="K20"/>
  <c r="H23"/>
  <c r="K23"/>
  <c r="H30"/>
  <c r="J30"/>
  <c r="K30" s="1"/>
  <c r="H11"/>
  <c r="K11"/>
  <c r="H10"/>
  <c r="K10"/>
  <c r="H26"/>
  <c r="K26"/>
  <c r="E19"/>
  <c r="D31" i="8"/>
  <c r="K28"/>
  <c r="H28" i="19"/>
  <c r="H31" s="1"/>
  <c r="R31" i="14"/>
  <c r="R34" s="1"/>
  <c r="M34"/>
  <c r="H28" i="18"/>
  <c r="H31" s="1"/>
  <c r="J29" i="27"/>
  <c r="J32"/>
  <c r="I29"/>
  <c r="I32"/>
  <c r="M28" i="26"/>
  <c r="M31" s="1"/>
  <c r="N31" i="24"/>
  <c r="N34" s="1"/>
  <c r="S31" i="14"/>
  <c r="S34" s="1"/>
  <c r="I31" i="22"/>
  <c r="J31"/>
  <c r="F34"/>
  <c r="J34" s="1"/>
  <c r="L28" i="26"/>
  <c r="L31" s="1"/>
  <c r="H28" i="12"/>
  <c r="H31" s="1"/>
  <c r="I31" s="1"/>
  <c r="K28" i="11"/>
  <c r="H28" i="8"/>
  <c r="I28" s="1"/>
  <c r="H28" i="10"/>
  <c r="I28" s="1"/>
  <c r="M21" i="6"/>
  <c r="Q31" i="22"/>
  <c r="K28" i="10"/>
  <c r="L31" i="22"/>
  <c r="E34"/>
  <c r="I34" s="1"/>
  <c r="K34"/>
  <c r="Q34" s="1"/>
  <c r="L32" i="21"/>
  <c r="J29"/>
  <c r="J32" s="1"/>
  <c r="L29"/>
  <c r="I29"/>
  <c r="G31" i="18"/>
  <c r="N31"/>
  <c r="G28"/>
  <c r="N28"/>
  <c r="K31" i="12"/>
  <c r="G28"/>
  <c r="K28"/>
  <c r="F31"/>
  <c r="G31" s="1"/>
  <c r="K31" i="11"/>
  <c r="J33"/>
  <c r="K33" s="1"/>
  <c r="G31"/>
  <c r="F33"/>
  <c r="G33" s="1"/>
  <c r="H28"/>
  <c r="G28"/>
  <c r="J33" i="10"/>
  <c r="K33" s="1"/>
  <c r="K31"/>
  <c r="F33"/>
  <c r="G28"/>
  <c r="E31"/>
  <c r="F292" i="1"/>
  <c r="F298" s="1"/>
  <c r="E24" i="5"/>
  <c r="E292" i="1"/>
  <c r="E298" s="1"/>
  <c r="C31" i="9"/>
  <c r="Q5"/>
  <c r="Q28" s="1"/>
  <c r="H31" i="8"/>
  <c r="G28"/>
  <c r="F31"/>
  <c r="H5" i="5"/>
  <c r="E11"/>
  <c r="D35"/>
  <c r="E10"/>
  <c r="G293" i="1"/>
  <c r="J32" i="7"/>
  <c r="K29"/>
  <c r="F32"/>
  <c r="G29"/>
  <c r="K13"/>
  <c r="H29"/>
  <c r="E35" i="6"/>
  <c r="J35"/>
  <c r="G32"/>
  <c r="I29"/>
  <c r="L29"/>
  <c r="J5" i="5"/>
  <c r="J29" s="1"/>
  <c r="J32" s="1"/>
  <c r="J35" s="1"/>
  <c r="K13"/>
  <c r="G30" i="3"/>
  <c r="G33" s="1"/>
  <c r="G232" i="1" l="1"/>
  <c r="I31" i="8"/>
  <c r="H33"/>
  <c r="I33" s="1"/>
  <c r="G31"/>
  <c r="F33"/>
  <c r="G33" s="1"/>
  <c r="K31"/>
  <c r="D33"/>
  <c r="K33" s="1"/>
  <c r="H18" i="5"/>
  <c r="K18"/>
  <c r="H19"/>
  <c r="K19"/>
  <c r="G298" i="1"/>
  <c r="I28" i="12"/>
  <c r="E21" i="5"/>
  <c r="C35"/>
  <c r="E35" s="1"/>
  <c r="K24"/>
  <c r="G292" i="1"/>
  <c r="L34" i="22"/>
  <c r="R34" s="1"/>
  <c r="R31"/>
  <c r="I28" i="11"/>
  <c r="H31"/>
  <c r="E33" i="10"/>
  <c r="H33" s="1"/>
  <c r="H31"/>
  <c r="G31"/>
  <c r="I31" s="1"/>
  <c r="M18" i="6"/>
  <c r="C29"/>
  <c r="K29" s="1"/>
  <c r="E18" i="5"/>
  <c r="C33" i="9"/>
  <c r="Q33" s="1"/>
  <c r="Q31"/>
  <c r="H32" i="7"/>
  <c r="I29"/>
  <c r="G32"/>
  <c r="F35"/>
  <c r="G35" s="1"/>
  <c r="K32"/>
  <c r="J35"/>
  <c r="K35" s="1"/>
  <c r="G35" i="6"/>
  <c r="I32"/>
  <c r="L32"/>
  <c r="L35" s="1"/>
  <c r="K5" i="5"/>
  <c r="H21" l="1"/>
  <c r="E32"/>
  <c r="G33" i="10"/>
  <c r="I33" s="1"/>
  <c r="G29" i="5"/>
  <c r="E29"/>
  <c r="I31" i="11"/>
  <c r="H33"/>
  <c r="I33" s="1"/>
  <c r="D29" i="6"/>
  <c r="C32"/>
  <c r="K32" s="1"/>
  <c r="M29"/>
  <c r="I32" i="7"/>
  <c r="H35"/>
  <c r="I35" s="1"/>
  <c r="I35" i="6"/>
  <c r="G32" i="5" l="1"/>
  <c r="H29"/>
  <c r="K21"/>
  <c r="F29" i="6"/>
  <c r="D32"/>
  <c r="C35"/>
  <c r="M32"/>
  <c r="H32" i="5" l="1"/>
  <c r="G35"/>
  <c r="K29"/>
  <c r="F32" i="6"/>
  <c r="D35"/>
  <c r="F35" s="1"/>
  <c r="M35"/>
  <c r="K35"/>
  <c r="H35" i="5" l="1"/>
  <c r="K35"/>
  <c r="K32"/>
  <c r="G9" i="43"/>
  <c r="G16" l="1"/>
  <c r="G12"/>
  <c r="G18"/>
  <c r="G14"/>
  <c r="G10"/>
</calcChain>
</file>

<file path=xl/sharedStrings.xml><?xml version="1.0" encoding="utf-8"?>
<sst xmlns="http://schemas.openxmlformats.org/spreadsheetml/2006/main" count="5250" uniqueCount="640">
  <si>
    <t>ARUNACHAL PRADESH: DISTRICT-WISE CREDIT DEPOSIT RATIO</t>
  </si>
  <si>
    <t>Name of the District:</t>
  </si>
  <si>
    <t>Kurung Kumey</t>
  </si>
  <si>
    <t>(Rs. in lakh)</t>
  </si>
  <si>
    <t>Sl.No.</t>
  </si>
  <si>
    <t>Name of Bank</t>
  </si>
  <si>
    <t>No. of Br</t>
  </si>
  <si>
    <t xml:space="preserve">  Deposit</t>
  </si>
  <si>
    <t xml:space="preserve"> Advance</t>
  </si>
  <si>
    <t>C.D.Ratio</t>
  </si>
  <si>
    <t>SBI</t>
  </si>
  <si>
    <t>ICICI</t>
  </si>
  <si>
    <t>APSCAB</t>
  </si>
  <si>
    <t>Total</t>
  </si>
  <si>
    <t>Kra Daadi</t>
  </si>
  <si>
    <t>Upper Subansiri</t>
  </si>
  <si>
    <t>APRB</t>
  </si>
  <si>
    <t>CBI</t>
  </si>
  <si>
    <t>Lower Subansiri</t>
  </si>
  <si>
    <t>CANARA</t>
  </si>
  <si>
    <t>Upper Siang</t>
  </si>
  <si>
    <t>West Siang</t>
  </si>
  <si>
    <t>Axis Bank</t>
  </si>
  <si>
    <t>VIJAYA</t>
  </si>
  <si>
    <t>Canara</t>
  </si>
  <si>
    <t>East Siang</t>
  </si>
  <si>
    <t>HDFC</t>
  </si>
  <si>
    <t>AXIS</t>
  </si>
  <si>
    <t>PNB</t>
  </si>
  <si>
    <t>Siang</t>
  </si>
  <si>
    <t>Dibang Valley</t>
  </si>
  <si>
    <t>Lower Dibang Valley</t>
  </si>
  <si>
    <t>BOI</t>
  </si>
  <si>
    <t>Lohit</t>
  </si>
  <si>
    <t>Namsai</t>
  </si>
  <si>
    <t>UBI</t>
  </si>
  <si>
    <t xml:space="preserve">Name of the District : </t>
  </si>
  <si>
    <t>Anjaw</t>
  </si>
  <si>
    <t>Changlang</t>
  </si>
  <si>
    <t>Longding</t>
  </si>
  <si>
    <t>Tirap</t>
  </si>
  <si>
    <t>Tawang</t>
  </si>
  <si>
    <t>West Kameng</t>
  </si>
  <si>
    <t>East Kameng</t>
  </si>
  <si>
    <t>Papumpare</t>
  </si>
  <si>
    <t>Allahabad</t>
  </si>
  <si>
    <t>BOB</t>
  </si>
  <si>
    <t xml:space="preserve">BOM </t>
  </si>
  <si>
    <t xml:space="preserve">ICICI  </t>
  </si>
  <si>
    <t xml:space="preserve">IDBI    </t>
  </si>
  <si>
    <t xml:space="preserve">INDIAN  </t>
  </si>
  <si>
    <t>IOB</t>
  </si>
  <si>
    <t>OBC</t>
  </si>
  <si>
    <t>SYNDI</t>
  </si>
  <si>
    <t>UCO</t>
  </si>
  <si>
    <t xml:space="preserve">UNION </t>
  </si>
  <si>
    <t>Vijaya</t>
  </si>
  <si>
    <t xml:space="preserve">YES Bank </t>
  </si>
  <si>
    <t>P &amp; S Bank</t>
  </si>
  <si>
    <t>INDUSIND</t>
  </si>
  <si>
    <t>BANDHAN</t>
  </si>
  <si>
    <t xml:space="preserve">     ACB </t>
  </si>
  <si>
    <t xml:space="preserve">TOTAL </t>
  </si>
  <si>
    <t>TOTAL</t>
  </si>
  <si>
    <t xml:space="preserve">DISTRICT WISE SUMMARY </t>
  </si>
  <si>
    <t>DISTRICT</t>
  </si>
  <si>
    <t>Bk. Br. No</t>
  </si>
  <si>
    <t>Depsosit</t>
  </si>
  <si>
    <t>Advance</t>
  </si>
  <si>
    <t>CD ratio</t>
  </si>
  <si>
    <t xml:space="preserve">Longding </t>
  </si>
  <si>
    <t xml:space="preserve">                Namsai</t>
  </si>
  <si>
    <t xml:space="preserve">             Kra Daadi</t>
  </si>
  <si>
    <t>STATE TOTAL</t>
  </si>
  <si>
    <t xml:space="preserve">BANK WISE SUMMARY </t>
  </si>
  <si>
    <t>P&amp;S Bank</t>
  </si>
  <si>
    <t>Abbreviation</t>
  </si>
  <si>
    <t>Expansion</t>
  </si>
  <si>
    <t>ALB</t>
  </si>
  <si>
    <t>Allahbad Bank</t>
  </si>
  <si>
    <t>Axis Bank Ltd.</t>
  </si>
  <si>
    <t>Bank of Baroda</t>
  </si>
  <si>
    <t>Bank of India</t>
  </si>
  <si>
    <t>BOM</t>
  </si>
  <si>
    <t>Bank of Maharastra</t>
  </si>
  <si>
    <t>CAN</t>
  </si>
  <si>
    <t>Canara Bank</t>
  </si>
  <si>
    <t>Central Bank of India</t>
  </si>
  <si>
    <t>HDFC Bank Ltd.</t>
  </si>
  <si>
    <t>ICICI Bank Ltd.</t>
  </si>
  <si>
    <t>IDBI</t>
  </si>
  <si>
    <t>IDBI Bank Ltd.</t>
  </si>
  <si>
    <t>IND</t>
  </si>
  <si>
    <t>Indian Bank</t>
  </si>
  <si>
    <t>Indian Overseas Bank</t>
  </si>
  <si>
    <t>Oriental Bank of Commerce</t>
  </si>
  <si>
    <t>Punjab National Bank</t>
  </si>
  <si>
    <t>State Bank of India</t>
  </si>
  <si>
    <t>SYN</t>
  </si>
  <si>
    <t>Syndicate Bank</t>
  </si>
  <si>
    <t>United Bank of India</t>
  </si>
  <si>
    <t>UCO Bank</t>
  </si>
  <si>
    <t>UNI</t>
  </si>
  <si>
    <t>Union Bank of India</t>
  </si>
  <si>
    <t>VJB</t>
  </si>
  <si>
    <t>Vijaya Bank</t>
  </si>
  <si>
    <t>YES</t>
  </si>
  <si>
    <t>Yes Bank</t>
  </si>
  <si>
    <t>P&amp;S</t>
  </si>
  <si>
    <t>Punjab and Sind Bank</t>
  </si>
  <si>
    <t>APSCB</t>
  </si>
  <si>
    <t>Arunachal Pradesh State Co-op Apex Bank Ltd</t>
  </si>
  <si>
    <t xml:space="preserve">Arunachal Pradesh Rural Bank </t>
  </si>
  <si>
    <t>ASCB</t>
  </si>
  <si>
    <t>All Scheduled Commercial Banks</t>
  </si>
  <si>
    <t>RRB</t>
  </si>
  <si>
    <t>Regional Rural Bank</t>
  </si>
  <si>
    <t>NEDFI</t>
  </si>
  <si>
    <t>North Eastern Development Finance Corporation Ltd.</t>
  </si>
  <si>
    <t>RIDF</t>
  </si>
  <si>
    <t>Rural Infrastructure Development Fund</t>
  </si>
  <si>
    <t>NABARD</t>
  </si>
  <si>
    <t xml:space="preserve">National Bank for Agriculture &amp; Rural Development </t>
  </si>
  <si>
    <t>ACP</t>
  </si>
  <si>
    <t>Annual Credit Plan</t>
  </si>
  <si>
    <t>CD Ratio</t>
  </si>
  <si>
    <t>Credit Deposit Ratio (in %)</t>
  </si>
  <si>
    <t>DRI Scheme</t>
  </si>
  <si>
    <t>Differential Rate of Interest Scheme</t>
  </si>
  <si>
    <t>Details of Bank Branch Network in Arunachal Pradesh</t>
  </si>
  <si>
    <t>Sl No.</t>
  </si>
  <si>
    <t>Bank Name</t>
  </si>
  <si>
    <t>Rural</t>
  </si>
  <si>
    <t>Semi Urban</t>
  </si>
  <si>
    <t>Urban</t>
  </si>
  <si>
    <t>Grand</t>
  </si>
  <si>
    <t>Last Quarter Data</t>
  </si>
  <si>
    <t xml:space="preserve">CONTENTS </t>
  </si>
  <si>
    <t xml:space="preserve">SL </t>
  </si>
  <si>
    <t>SUBJECT</t>
  </si>
  <si>
    <t xml:space="preserve">PAGE NO. </t>
  </si>
  <si>
    <t>Population pattern</t>
  </si>
  <si>
    <t xml:space="preserve">Economic indicators </t>
  </si>
  <si>
    <t>Abbriviations used in book-let</t>
  </si>
  <si>
    <t>Branch Network</t>
  </si>
  <si>
    <t>National norms vs state achievement</t>
  </si>
  <si>
    <t>Agenda-wise items</t>
  </si>
  <si>
    <t xml:space="preserve">Banking Profile </t>
  </si>
  <si>
    <t xml:space="preserve">CD Ratios: District-wise, </t>
  </si>
  <si>
    <t>CD Ratio : District-wise &amp; Bank-wise</t>
  </si>
  <si>
    <t>Business &amp; CD Ratio: Bank-wise</t>
  </si>
  <si>
    <t xml:space="preserve">Segregation of  Total Advances </t>
  </si>
  <si>
    <t xml:space="preserve">Analysis of Total Priority Sector Advances </t>
  </si>
  <si>
    <t>Analysis of Priority Sector Advances under crop loans</t>
  </si>
  <si>
    <t xml:space="preserve">Analysis of Agriculture Sector Advances </t>
  </si>
  <si>
    <t xml:space="preserve">Analysis of Pririty sector Agriculture Sector Advances </t>
  </si>
  <si>
    <t xml:space="preserve">Analysis of Industry Sector Advances </t>
  </si>
  <si>
    <t xml:space="preserve">Analysis of Services Sector Advances </t>
  </si>
  <si>
    <t>Details of Weaker sector advances</t>
  </si>
  <si>
    <t>Details of Minority sector advances</t>
  </si>
  <si>
    <t xml:space="preserve">Progress under  KCC loans- Bank wise </t>
  </si>
  <si>
    <t>Details of MSME sector advances</t>
  </si>
  <si>
    <t>Performance of Housing laons</t>
  </si>
  <si>
    <t xml:space="preserve">Performance under Education Loan </t>
  </si>
  <si>
    <t xml:space="preserve">Analysis of Transport Operator Sector Advances </t>
  </si>
  <si>
    <t>Performance of Tea sector laons</t>
  </si>
  <si>
    <t xml:space="preserve">Performance under SHGs: Bank-wise </t>
  </si>
  <si>
    <t xml:space="preserve">Performance No-fril account &amp; GCC </t>
  </si>
  <si>
    <t xml:space="preserve">Performance on PMEGP </t>
  </si>
  <si>
    <t>Recovery under PMEGP &amp; KVIC margin money</t>
  </si>
  <si>
    <t xml:space="preserve">Performance on WCC </t>
  </si>
  <si>
    <t xml:space="preserve">Performance under SJSRY </t>
  </si>
  <si>
    <t>Recovery under SGSY &amp; SJSRY scheme</t>
  </si>
  <si>
    <t>Progress under One Time Settlement &amp; Joint recovery</t>
  </si>
  <si>
    <t>Recovery under Bakijai cases</t>
  </si>
  <si>
    <t>Performance under Annual Credit Plan): DISTRICT WISE</t>
  </si>
  <si>
    <t>Performance under ACP :  DISTRICS SUMMARY</t>
  </si>
  <si>
    <t>Performance under ACP :  BANKS SUMMARY</t>
  </si>
  <si>
    <t>Bank Wise Business and Credit Deposit Ratio of Arunachal Pradesh in the Year 2017-18</t>
  </si>
  <si>
    <t>Deposit Amount(D)</t>
  </si>
  <si>
    <t>Advances Amount (A)</t>
  </si>
  <si>
    <t>CDR1</t>
  </si>
  <si>
    <t>Credit Utilized (CU)</t>
  </si>
  <si>
    <t>Total Credit (TC)</t>
  </si>
  <si>
    <t>CDR2</t>
  </si>
  <si>
    <t>Investment Amount (I)</t>
  </si>
  <si>
    <t>TC + I</t>
  </si>
  <si>
    <t>CDR3</t>
  </si>
  <si>
    <t>All Banks Total</t>
  </si>
  <si>
    <t xml:space="preserve">N.B. </t>
  </si>
  <si>
    <t xml:space="preserve">CDR-1 means advances against deposits of the bank wthin the state. </t>
  </si>
  <si>
    <t>CDR-2 means advance not only against deposit within the state also advance provided from outside AP.</t>
  </si>
  <si>
    <t>AS ON 30.06.2018 (RS. IN LAKH)</t>
  </si>
  <si>
    <t>As on 30.06.2018</t>
  </si>
  <si>
    <t>Total Advance</t>
  </si>
  <si>
    <t>Non Priority Sector</t>
  </si>
  <si>
    <t>Non- Priority Sector NPA</t>
  </si>
  <si>
    <t>Non-Priority Sector NPA %</t>
  </si>
  <si>
    <t>Priority Sector (PSA)</t>
  </si>
  <si>
    <t>Priority Sector NPA</t>
  </si>
  <si>
    <t>Priority Sector NPA %</t>
  </si>
  <si>
    <t>Weaker Sector (WSA)</t>
  </si>
  <si>
    <t>PSA to Total Adv (%)</t>
  </si>
  <si>
    <t>WSA To PSA (%)</t>
  </si>
  <si>
    <t>WSA  to Total Adv (%)</t>
  </si>
  <si>
    <t>ASCB Total</t>
  </si>
  <si>
    <t>Grand Total</t>
  </si>
  <si>
    <t>Segregation of Advances of Arunachal Pradesh in the Year 2018-19</t>
  </si>
  <si>
    <t>AS ON 30.06.2018(RS. IN LAKH)</t>
  </si>
  <si>
    <t>No. of A/C</t>
  </si>
  <si>
    <t>Total O/S</t>
  </si>
  <si>
    <t>Demand Raised</t>
  </si>
  <si>
    <t>Recovery Amount</t>
  </si>
  <si>
    <t>Recovery %</t>
  </si>
  <si>
    <t>Overdues Amount</t>
  </si>
  <si>
    <t>Overdues %</t>
  </si>
  <si>
    <t>Gross NPA Amount</t>
  </si>
  <si>
    <t>Gross NPA %</t>
  </si>
  <si>
    <t>New Loans</t>
  </si>
  <si>
    <t xml:space="preserve"> </t>
  </si>
  <si>
    <t>Analysis of Total Priority Sector Advances of Arunachal Pradesh in the Year 2018-19</t>
  </si>
  <si>
    <t>As on 30.06.2018   (Rs In Lakhs)</t>
  </si>
  <si>
    <t>Analysis of Priority Sector Advances Under CROP LOAN of Arunachal Pradesh in the Year 2017-18</t>
  </si>
  <si>
    <t>Crop Loan</t>
  </si>
  <si>
    <t>Tractor</t>
  </si>
  <si>
    <t>Other machineries</t>
  </si>
  <si>
    <t>Plantation</t>
  </si>
  <si>
    <t>Horti &amp; Flori</t>
  </si>
  <si>
    <t>Irrigation</t>
  </si>
  <si>
    <t>Land Dev.</t>
  </si>
  <si>
    <t>Dairy</t>
  </si>
  <si>
    <t>Poultry</t>
  </si>
  <si>
    <t>Piggery</t>
  </si>
  <si>
    <t>Goatery</t>
  </si>
  <si>
    <t>Fishery</t>
  </si>
  <si>
    <t>Cold Storage</t>
  </si>
  <si>
    <t>Others</t>
  </si>
  <si>
    <t>INDUS</t>
  </si>
  <si>
    <t>Last qtr</t>
  </si>
  <si>
    <t>Analysis of CATEGORIES under AGRICULTURE LOANS of Arunachal Pradesh in the Year 2018-19</t>
  </si>
  <si>
    <t>Recovery%</t>
  </si>
  <si>
    <t>Last Qtr Data</t>
  </si>
  <si>
    <t>Analysis of Priority Sector Advances Under INDUSTRY of Arunachal Pradesh in the Year 2017-18</t>
  </si>
  <si>
    <t>Target</t>
  </si>
  <si>
    <t>Addl Target</t>
  </si>
  <si>
    <t>Application Received</t>
  </si>
  <si>
    <t>Sanctioned Number</t>
  </si>
  <si>
    <t>Sanctioned Amount</t>
  </si>
  <si>
    <t>Disbursed Number</t>
  </si>
  <si>
    <t>Disbursed Amount</t>
  </si>
  <si>
    <t>Pending Sanction (no.)</t>
  </si>
  <si>
    <t>Pending Disbursement(amt)</t>
  </si>
  <si>
    <t>Returned/ Rejected</t>
  </si>
  <si>
    <t>District</t>
  </si>
  <si>
    <t>Proposal received</t>
  </si>
  <si>
    <t>Sanctioned</t>
  </si>
  <si>
    <t>Disbursed</t>
  </si>
  <si>
    <t xml:space="preserve">No. </t>
  </si>
  <si>
    <t>Amt</t>
  </si>
  <si>
    <t>D. Valley</t>
  </si>
  <si>
    <t>L.D. Valley</t>
  </si>
  <si>
    <t>U. Subansiri</t>
  </si>
  <si>
    <t>*</t>
  </si>
  <si>
    <t>L. Subansiri</t>
  </si>
  <si>
    <t>K.  Kumey</t>
  </si>
  <si>
    <t>E.  Kameng</t>
  </si>
  <si>
    <t>W. Kameng</t>
  </si>
  <si>
    <t>ACB TOTAL</t>
  </si>
  <si>
    <t>NIL</t>
  </si>
  <si>
    <t>APEX</t>
  </si>
  <si>
    <t>GRAND TOTAL</t>
  </si>
  <si>
    <t>Last Qtr Total</t>
  </si>
  <si>
    <t>FINANCING UNDER SELF-HELP GROUPS ( SHGs):</t>
  </si>
  <si>
    <t>BANK-WISE</t>
  </si>
  <si>
    <t>Sl. No.</t>
  </si>
  <si>
    <t>Name of the Bank</t>
  </si>
  <si>
    <t>Deposit Linkages</t>
  </si>
  <si>
    <t>Credit Linkages (Advances)</t>
  </si>
  <si>
    <t>Current Financial Year</t>
  </si>
  <si>
    <t>Cumulative Position</t>
  </si>
  <si>
    <t>Under SGSY</t>
  </si>
  <si>
    <t>Direct SHGs</t>
  </si>
  <si>
    <t>No.</t>
  </si>
  <si>
    <t>Amount</t>
  </si>
  <si>
    <t>INDIAN</t>
  </si>
  <si>
    <t>UNION</t>
  </si>
  <si>
    <t>INDUSIN</t>
  </si>
  <si>
    <t>GR. TOTAL</t>
  </si>
  <si>
    <t>PERFORMANCE KISHAN CREDIT CARD (KCC):</t>
  </si>
  <si>
    <t>Bank</t>
  </si>
  <si>
    <t>Current yr cards issued</t>
  </si>
  <si>
    <t>Current yr limit sanctioned</t>
  </si>
  <si>
    <t>Outstanding No. of Acounts</t>
  </si>
  <si>
    <t>Outstanding Amount</t>
  </si>
  <si>
    <t>Indusind</t>
  </si>
  <si>
    <t>Last quarter</t>
  </si>
  <si>
    <t>PERFORMANCE UNDER WEAVERS' CREDIT CARD (WCC) IN ARUNACHAL PRADESH:</t>
  </si>
  <si>
    <t>BANK-WISE  (Rs In Lakh)</t>
  </si>
  <si>
    <t>DISTRICT-WISE</t>
  </si>
  <si>
    <t>Pending Sanction</t>
  </si>
  <si>
    <t>Pending Disbursement</t>
  </si>
  <si>
    <t>Received</t>
  </si>
  <si>
    <t>No</t>
  </si>
  <si>
    <t>Lower D. Valley</t>
  </si>
  <si>
    <t>Papum Pare</t>
  </si>
  <si>
    <t>Last Qtr</t>
  </si>
  <si>
    <t>PERFORMANCE UNDER SJSRY IN ARUNACHAL PRADESH</t>
  </si>
  <si>
    <t>N.B. No target and no data available</t>
  </si>
  <si>
    <t>Recovery Position Under PMEGP of Arunachal Pradesh</t>
  </si>
  <si>
    <t xml:space="preserve">Recovery Position Under KVIC Margin Money Scheme: </t>
  </si>
  <si>
    <t>Number Of Account</t>
  </si>
  <si>
    <t>Total Outstanding</t>
  </si>
  <si>
    <t>Overdues</t>
  </si>
  <si>
    <t>Recovery Position Under SGSY in the Year 2017-18</t>
  </si>
  <si>
    <t>Recovery Position Under SJSRY</t>
  </si>
  <si>
    <t>(Rs in lakh)</t>
  </si>
  <si>
    <t>Number of Account</t>
  </si>
  <si>
    <t>PERFORMANCE OF TEA SECTOR: ARUNACHAL PRADESH</t>
  </si>
  <si>
    <t>Number of Loan Granted During the Year</t>
  </si>
  <si>
    <t>Amount of Loan Granted During the Year</t>
  </si>
  <si>
    <t>Total Number Of Account</t>
  </si>
  <si>
    <t>PERFORMANE OF ADVANCE UNDER TRANSPORT OPERATOR SCHEME</t>
  </si>
  <si>
    <t>SANCTIONED DURING THE YEAR</t>
  </si>
  <si>
    <t>TOTAL OUTSTANDING</t>
  </si>
  <si>
    <t xml:space="preserve">Gross NPA </t>
  </si>
  <si>
    <t>NPA %</t>
  </si>
  <si>
    <t>PERFORMANCE OF HOUSING LOAN: ARUNACHAL PRADESH</t>
  </si>
  <si>
    <t>(RS in lakh)</t>
  </si>
  <si>
    <t>LOANS SANCTIONED DURING THE YEAR</t>
  </si>
  <si>
    <t>BALANCE OUTSTANDING AT THE END OF QUARTER</t>
  </si>
  <si>
    <t>URBAN</t>
  </si>
  <si>
    <t>SEMI-URBAN</t>
  </si>
  <si>
    <t>RURAL</t>
  </si>
  <si>
    <t>EDUCATION LOAN FOR THE YEAR 2017-18</t>
  </si>
  <si>
    <t>Bank-wise</t>
  </si>
  <si>
    <t>Sl no</t>
  </si>
  <si>
    <t xml:space="preserve">Sanctioned </t>
  </si>
  <si>
    <t>Diusbursed</t>
  </si>
  <si>
    <t>Total outstanding</t>
  </si>
  <si>
    <t xml:space="preserve">Amt </t>
  </si>
  <si>
    <t xml:space="preserve">ACB TOTAL </t>
  </si>
  <si>
    <t xml:space="preserve">Last Qtr Data </t>
  </si>
  <si>
    <t xml:space="preserve">Details of advances to MSME sectors </t>
  </si>
  <si>
    <t>Banks</t>
  </si>
  <si>
    <t>MICRO</t>
  </si>
  <si>
    <t>SMALL</t>
  </si>
  <si>
    <t>MEDIUM</t>
  </si>
  <si>
    <t>TOTAL MSME OUTSTANDING</t>
  </si>
  <si>
    <t>Current Year</t>
  </si>
  <si>
    <t>Outstanding</t>
  </si>
  <si>
    <t>Amt.</t>
  </si>
  <si>
    <t>PERFORMANCE ON  NO-FRILL ACCOUNT</t>
  </si>
  <si>
    <t xml:space="preserve">Perfprmance on General Credit Card (GCC) </t>
  </si>
  <si>
    <t>Current Yr Number of A/C</t>
  </si>
  <si>
    <t>Cumulative No of A/C</t>
  </si>
  <si>
    <t>OD Number</t>
  </si>
  <si>
    <t>OD Amount</t>
  </si>
  <si>
    <t>No. of Target</t>
  </si>
  <si>
    <t>Current Year Cards issued</t>
  </si>
  <si>
    <t>Current year  Limit Sanctioned</t>
  </si>
  <si>
    <t>Cumulative No of Cards</t>
  </si>
  <si>
    <t>Cumulative Limit Sanctioned</t>
  </si>
  <si>
    <t>Details of advances to sensitive sectors:  Lending to Minority Communities</t>
  </si>
  <si>
    <t>Muslim</t>
  </si>
  <si>
    <t>Christian</t>
  </si>
  <si>
    <t>Sikh</t>
  </si>
  <si>
    <t>Budhist</t>
  </si>
  <si>
    <t>Zoroastrian</t>
  </si>
  <si>
    <t>NO.</t>
  </si>
  <si>
    <t xml:space="preserve">  Details of advances to sensitive sectors:LENDING TO WEAKER SECTOR</t>
  </si>
  <si>
    <t>(Rs n lakh)</t>
  </si>
  <si>
    <t>Sl.</t>
  </si>
  <si>
    <t>SC/ST</t>
  </si>
  <si>
    <t>Women Beneficiaries</t>
  </si>
  <si>
    <t>Physically handicapped</t>
  </si>
  <si>
    <t xml:space="preserve">Grand </t>
  </si>
  <si>
    <t xml:space="preserve">Total </t>
  </si>
  <si>
    <t xml:space="preserve"> Last Qtr Data </t>
  </si>
  <si>
    <t>Recovery under BAKIJAI cases of Arunachal Pradesh</t>
  </si>
  <si>
    <t>Number of Pending Cases At the Begining Of the Quarter</t>
  </si>
  <si>
    <t>Amount of Pending Cases At the Begining Of the Quarter</t>
  </si>
  <si>
    <t>Number of Cases add during The Quarter</t>
  </si>
  <si>
    <t>Amount of Casses Add during the Quarter</t>
  </si>
  <si>
    <t>Number of Cases Settled during The Quarter</t>
  </si>
  <si>
    <t>Amount of Cases settled during the quarter</t>
  </si>
  <si>
    <t>Number of Pending Cases at the close of the Quarter</t>
  </si>
  <si>
    <t>Amount of Pending Cases at the clase of the Quarter</t>
  </si>
  <si>
    <t>Performance on  One Time Settlement Scheme Govt. Sponsored Loans of Arunachal Pradesh</t>
  </si>
  <si>
    <t>Joint Recovery Drives with Govt. Authorities in the Year 2017-18</t>
  </si>
  <si>
    <t>(Amt. in lakh)</t>
  </si>
  <si>
    <t>No. of NPA Accounts</t>
  </si>
  <si>
    <t>Amount of NPA</t>
  </si>
  <si>
    <t>Number of Accounts Settled</t>
  </si>
  <si>
    <t>Amount Involved</t>
  </si>
  <si>
    <t>Number of Drives</t>
  </si>
  <si>
    <t>Number of Accounts Recovered</t>
  </si>
  <si>
    <t>Amount of Recovery</t>
  </si>
  <si>
    <t>TIRAP</t>
  </si>
  <si>
    <t>CHANGLANG</t>
  </si>
  <si>
    <t>LOHIT</t>
  </si>
  <si>
    <t>ANJAW</t>
  </si>
  <si>
    <t>SIANG</t>
  </si>
  <si>
    <t>Districtwise Population pattern: Sex-ratio, Density etc. of A.P.  : 2011 Census</t>
  </si>
  <si>
    <t>Population</t>
  </si>
  <si>
    <t>Sex Ratio per '000 males</t>
  </si>
  <si>
    <t>Density per Sq. Km.</t>
  </si>
  <si>
    <t>Scheduled Caste</t>
  </si>
  <si>
    <t>Scheduled Tribe</t>
  </si>
  <si>
    <t>Literacy %</t>
  </si>
  <si>
    <t>Average</t>
  </si>
  <si>
    <t>Male</t>
  </si>
  <si>
    <t>Female</t>
  </si>
  <si>
    <t>Papum pare</t>
  </si>
  <si>
    <t>60..76</t>
  </si>
  <si>
    <t>Chang lang</t>
  </si>
  <si>
    <t>Selected economic indicators of Arunachal Pradesh</t>
  </si>
  <si>
    <t>Items</t>
  </si>
  <si>
    <t>Ref. Year</t>
  </si>
  <si>
    <t>Unit</t>
  </si>
  <si>
    <t>Particulars</t>
  </si>
  <si>
    <t>Geographical Area</t>
  </si>
  <si>
    <t>2011 Census</t>
  </si>
  <si>
    <t>Sq. Km.</t>
  </si>
  <si>
    <t>Actual</t>
  </si>
  <si>
    <t>Density</t>
  </si>
  <si>
    <t>-do-</t>
  </si>
  <si>
    <t>Persons per Sq. Km.</t>
  </si>
  <si>
    <t>Sex Ratio</t>
  </si>
  <si>
    <t>Females per '000 Males</t>
  </si>
  <si>
    <t>Percentage of Urban Population to the total population</t>
  </si>
  <si>
    <t>Percentage</t>
  </si>
  <si>
    <t>Decennial Growth Rate of population</t>
  </si>
  <si>
    <t>2001-2011</t>
  </si>
  <si>
    <t>Population Below Poverty Line (As per Planning Commission estimates)</t>
  </si>
  <si>
    <t>2009-2010</t>
  </si>
  <si>
    <r>
      <rPr>
        <b/>
        <sz val="10"/>
        <rFont val="Century Gothic"/>
        <family val="2"/>
      </rPr>
      <t>Literacy rate :</t>
    </r>
    <r>
      <rPr>
        <sz val="10"/>
        <rFont val="Century Gothic"/>
        <family val="2"/>
      </rPr>
      <t xml:space="preserve"> (i) Persons</t>
    </r>
  </si>
  <si>
    <t>(i) 66.95(T)</t>
  </si>
  <si>
    <t xml:space="preserve"> (ii) Male </t>
  </si>
  <si>
    <t>(ii) 73.69(M)</t>
  </si>
  <si>
    <t>(iii) Female</t>
  </si>
  <si>
    <t>(iii) 59.57(F)</t>
  </si>
  <si>
    <t>Gross State Domestic Product (GSDP) at factor cost :</t>
  </si>
  <si>
    <t>2009-10</t>
  </si>
  <si>
    <t>Rs. in crore</t>
  </si>
  <si>
    <t>(i) At current prices</t>
  </si>
  <si>
    <t>(ii) At constant (2004-05) prices</t>
  </si>
  <si>
    <t>Net  State Domestic Product (NSDP) at factor cost</t>
  </si>
  <si>
    <t>Per Capita NSDP</t>
  </si>
  <si>
    <t>Rupees</t>
  </si>
  <si>
    <t>51881</t>
  </si>
  <si>
    <t>Index of Agricultural Production (Base: Triennium ending 1981-82=100)</t>
  </si>
  <si>
    <t>2009-2010 (P)</t>
  </si>
  <si>
    <t>-</t>
  </si>
  <si>
    <t>Total cropped area</t>
  </si>
  <si>
    <t>2011 census</t>
  </si>
  <si>
    <t>Lakh ha</t>
  </si>
  <si>
    <t>Net area sown</t>
  </si>
  <si>
    <t>Index of Industrial Production (Base : 1993-94=100</t>
  </si>
  <si>
    <t>Post office per lakh population</t>
  </si>
  <si>
    <t>All scheduled commercial banks per lakh population</t>
  </si>
  <si>
    <t>June, 2013</t>
  </si>
  <si>
    <t>Nos.</t>
  </si>
  <si>
    <t>Employment on organized sector</t>
  </si>
  <si>
    <t>2010 (P)</t>
  </si>
  <si>
    <t>'000 Nos.</t>
  </si>
  <si>
    <t>(i) Public Sector</t>
  </si>
  <si>
    <t>20.</t>
  </si>
  <si>
    <t>(ii) Private Sector</t>
  </si>
  <si>
    <t>PARAMETERS</t>
  </si>
  <si>
    <t xml:space="preserve">NATIONAL NORMS </t>
  </si>
  <si>
    <t>STATE POSITION IN %</t>
  </si>
  <si>
    <t>C D RATIO</t>
  </si>
  <si>
    <t>CREDIT+INVESTMENT RATIO</t>
  </si>
  <si>
    <t>PRIORITY SECTOR ADVANCES TO TOTAL ADVANCES</t>
  </si>
  <si>
    <t>AGRICULTURE ADVANCES TO TOTAL ADVANCES</t>
  </si>
  <si>
    <t xml:space="preserve">LENDING TO THE WEAKER SECTION </t>
  </si>
  <si>
    <t>Analysis of Priority Sector Advances Under AGRICULTURE of Arunachal Pradesh in the Year 2018-19</t>
  </si>
  <si>
    <t>PMEGP (2018-19)  TARGET:</t>
  </si>
  <si>
    <t>AS ON 30.06.2018      (RS. IN LAKH)</t>
  </si>
  <si>
    <t>Analysis of Priority Sector Advances Under SERVICE SECTOR of Arunachal Pradesh in the Year 2018-19</t>
  </si>
  <si>
    <t>AS ON 30.06.2018       (Amt. in lakh)</t>
  </si>
  <si>
    <t>PSB</t>
  </si>
  <si>
    <t>Bandhan</t>
  </si>
  <si>
    <t>P&amp;S BANK</t>
  </si>
  <si>
    <t>Crop loan</t>
  </si>
  <si>
    <t>Agl TL</t>
  </si>
  <si>
    <t>Agl &amp; Allied Sector</t>
  </si>
  <si>
    <t>Industries   Sector</t>
  </si>
  <si>
    <t>Services    Sector</t>
  </si>
  <si>
    <t>Total Priority Sector</t>
  </si>
  <si>
    <t>Targt</t>
  </si>
  <si>
    <t xml:space="preserve">UCO  </t>
  </si>
  <si>
    <t xml:space="preserve">BOB  </t>
  </si>
  <si>
    <t xml:space="preserve">INDIAN   </t>
  </si>
  <si>
    <t xml:space="preserve">IDBI   </t>
  </si>
  <si>
    <t>ALLAHA</t>
  </si>
  <si>
    <t xml:space="preserve">BOI  </t>
  </si>
  <si>
    <t>No. br.</t>
  </si>
  <si>
    <t xml:space="preserve">YES Bank  </t>
  </si>
  <si>
    <t>P&amp;B</t>
  </si>
  <si>
    <t xml:space="preserve"> Banks</t>
  </si>
  <si>
    <t>No. Br</t>
  </si>
  <si>
    <t>ACB Total</t>
  </si>
  <si>
    <t xml:space="preserve">Coop  </t>
  </si>
  <si>
    <t>Gr. Total</t>
  </si>
  <si>
    <t>Gr.Total</t>
  </si>
  <si>
    <t>DISTRICT:         KRA DAADI</t>
  </si>
  <si>
    <t>Coopertive</t>
  </si>
  <si>
    <t>DISTRICT : NAMSAI</t>
  </si>
  <si>
    <r>
      <t xml:space="preserve">UBI  </t>
    </r>
    <r>
      <rPr>
        <b/>
        <sz val="8"/>
        <rFont val="Arial"/>
        <family val="2"/>
      </rPr>
      <t xml:space="preserve"> </t>
    </r>
  </si>
  <si>
    <t>No. Br.</t>
  </si>
  <si>
    <t xml:space="preserve">YES  </t>
  </si>
  <si>
    <t xml:space="preserve">RRB  </t>
  </si>
  <si>
    <t xml:space="preserve"> DISTRICT : TAWANG</t>
  </si>
  <si>
    <t>District Name</t>
  </si>
  <si>
    <t>L. Subn</t>
  </si>
  <si>
    <t>K.Kume</t>
  </si>
  <si>
    <t>K.Daadi</t>
  </si>
  <si>
    <t>U. Subn</t>
  </si>
  <si>
    <t>E.Siang</t>
  </si>
  <si>
    <t>W.Siang</t>
  </si>
  <si>
    <t>U.Siang</t>
  </si>
  <si>
    <t>L.D.Valley</t>
  </si>
  <si>
    <t>Papump</t>
  </si>
  <si>
    <t>E.Kameng</t>
  </si>
  <si>
    <t>W.Kamen</t>
  </si>
  <si>
    <t>G. Total</t>
  </si>
  <si>
    <t xml:space="preserve"> DISTRICT : </t>
  </si>
  <si>
    <t>LOWER SUBANSIRI</t>
  </si>
  <si>
    <t>Lead Bank  : SBI     (ZERO)</t>
  </si>
  <si>
    <t>Targ</t>
  </si>
  <si>
    <t>Achv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</si>
  <si>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</si>
  <si>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</si>
  <si>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DISTRICT : </t>
  </si>
  <si>
    <t>KURUNG KUMEY</t>
  </si>
  <si>
    <t>Lead Bank: SBI, Zero</t>
  </si>
  <si>
    <t xml:space="preserve">DISTRICT  </t>
  </si>
  <si>
    <t>UPPER SUBANSIRI</t>
  </si>
  <si>
    <t xml:space="preserve">DISTRICT:  </t>
  </si>
  <si>
    <t>EAST SIANG</t>
  </si>
  <si>
    <t>Lead Bank :SBI (Passighat)</t>
  </si>
  <si>
    <t>WEST SIANG</t>
  </si>
  <si>
    <t>UPPER SIANG</t>
  </si>
  <si>
    <t>Brn</t>
  </si>
  <si>
    <t>DIBANG VALLEY</t>
  </si>
  <si>
    <t>Lead Bank :SBI (Tezu)</t>
  </si>
  <si>
    <t>LOWER DIBANG VALLEY</t>
  </si>
  <si>
    <t>Lead Bank :SBI Tezu)</t>
  </si>
  <si>
    <t>Lead Bank :SBI (Dibrugarh)</t>
  </si>
  <si>
    <t>LONGDING</t>
  </si>
  <si>
    <t>PAPUMPARE</t>
  </si>
  <si>
    <t>Lead Bank :SBI (Itanagar)</t>
  </si>
  <si>
    <t>DISTRICT  :</t>
  </si>
  <si>
    <t>EAST KAMENG</t>
  </si>
  <si>
    <t>Lead Bank :SBI (Bomdila)</t>
  </si>
  <si>
    <t>WEST KAMENG</t>
  </si>
  <si>
    <t>Lead Bank :SBI( Bomdila)</t>
  </si>
  <si>
    <t>DISTRICT-WISE PERFORMANCE UNDER   ACP   2018-2019</t>
  </si>
  <si>
    <t>ARUNACHAL PRADESH  : AS ON 30.06.2018</t>
  </si>
  <si>
    <t>DISTRICT-WISE PERFORMANCE UNDER ACP  2018-19 , AS ON 30.06.2019</t>
  </si>
  <si>
    <t>BANK-WISE PERFORMANCE UNDER ACP  2018-19 , AS ON 30.06.2018</t>
  </si>
  <si>
    <t>(AS ON 30.06.2018(RS. IN LAKH)</t>
  </si>
  <si>
    <t>AS ON 30.06.2018</t>
  </si>
  <si>
    <t>AS ON 30.06.2018   (Rs. in lakh)</t>
  </si>
  <si>
    <t xml:space="preserve"> Total</t>
  </si>
  <si>
    <t>Last Qurter</t>
  </si>
  <si>
    <t>31.12.2017</t>
  </si>
  <si>
    <t>31.03.2018</t>
  </si>
  <si>
    <t>30.06.2018</t>
  </si>
  <si>
    <t>AS ON 30.06.2018     (Rs. In lakh)</t>
  </si>
  <si>
    <t>AS ON 30.06.2018                 (Rs in lakh)</t>
  </si>
  <si>
    <t>(Current Quarter)</t>
  </si>
  <si>
    <t>AS ON 31.03.2018 (RS. IN LAKH)</t>
  </si>
  <si>
    <t xml:space="preserve">(Rs. In Lakh) </t>
  </si>
  <si>
    <t>Profile</t>
  </si>
  <si>
    <t>Commercial Banks</t>
  </si>
  <si>
    <t>RRBs</t>
  </si>
  <si>
    <t>Co-op Banks</t>
  </si>
  <si>
    <t xml:space="preserve">NEDFI &amp; RIDF </t>
  </si>
  <si>
    <t xml:space="preserve">Aggregate Deposits </t>
  </si>
  <si>
    <t>Aggregate Advances</t>
  </si>
  <si>
    <t xml:space="preserve">C:D Ratio </t>
  </si>
  <si>
    <t xml:space="preserve">Priority sector Adv </t>
  </si>
  <si>
    <t xml:space="preserve">% to total adv </t>
  </si>
  <si>
    <t xml:space="preserve">Adv to Agriculture </t>
  </si>
  <si>
    <t xml:space="preserve">% to total Adv </t>
  </si>
  <si>
    <t xml:space="preserve">Adv to SSI Sector </t>
  </si>
  <si>
    <t xml:space="preserve">Adv to Service sector </t>
  </si>
  <si>
    <t>Recovery % of</t>
  </si>
  <si>
    <t xml:space="preserve">Overdue % of Priority </t>
  </si>
  <si>
    <t xml:space="preserve">sector Adv </t>
  </si>
  <si>
    <t>NB * 34.60% CD Ratio is of all banks and RIDF &amp; NEDFI</t>
  </si>
  <si>
    <t>6 To 11</t>
  </si>
  <si>
    <t>12(A), 12 (B),12 (C )</t>
  </si>
  <si>
    <t>12 (A)</t>
  </si>
  <si>
    <t>(Previous Quarter)</t>
  </si>
  <si>
    <t>(Previous  Quarter)</t>
  </si>
  <si>
    <t>As on 31.12.2017</t>
  </si>
  <si>
    <t>NB :</t>
  </si>
  <si>
    <t xml:space="preserve"> 1. Lending by NEDFI and RIDF have been taken as  Priority Sector advances.</t>
  </si>
  <si>
    <t xml:space="preserve">    RIDF lending is taken under Agriculture and NEDFI under SSI Sectors. </t>
  </si>
  <si>
    <t>AS ON 31.03.2018</t>
  </si>
  <si>
    <t>AS ON 31.03.2018(RS. IN LAKH)</t>
  </si>
  <si>
    <t>Segregation of Advances of Arunachal Pradesh in the Year 2017-18</t>
  </si>
  <si>
    <t>INDUSI</t>
  </si>
  <si>
    <t>Analysis of Total Priority Sector Advances of Arunachal Pradesh in the Year 2017-18</t>
  </si>
  <si>
    <t>As on 31.03.2018   (Rs In Lakhs)</t>
  </si>
  <si>
    <t>Analysis of CATEGORIES under AGRICULTURE LOANS of Arunachal Pradesh in the Year 2017-18</t>
  </si>
  <si>
    <t>Analysis of Priority Sector Advances Under AGRICULTURE of Arunachal Pradesh in the Year 2017-18</t>
  </si>
  <si>
    <t>Analysis of Priority Sector Advances Under SERVICE SECTOR of Arunachal Pradesh in the Year 2017-18</t>
  </si>
  <si>
    <t>AS ON 31.03.2018       (Amt. in lakh)</t>
  </si>
  <si>
    <t>AS ON 31.03.2018     (Rs. In lakh)</t>
  </si>
  <si>
    <t>AS ON 31.03.2018   (Rs. in lakh)</t>
  </si>
  <si>
    <t>PMEGP (2017-18)  TARGET:</t>
  </si>
  <si>
    <t>AS ON 31.03.2018      (RS. IN LAKH)</t>
  </si>
  <si>
    <t>(AS ON 31.03.2018(RS. IN LAKH)</t>
  </si>
  <si>
    <t>AS ON 31.03.2018                 (Rs in lakh)</t>
  </si>
  <si>
    <t>DISTRICT-WISE PERFORMANCE UNDER   ACP   2017-2018</t>
  </si>
  <si>
    <t>ARUNACHAL PRADESH  : AS ON 31.03.2018</t>
  </si>
  <si>
    <t>DISTRICT-WISE PERFORMANCE UNDER ACP  2017-18 , AS ON 31.03.2018</t>
  </si>
  <si>
    <t>BANK-WISE PERFORMANCE UNDER ACP  2017-18 , AS ON 31.03.2018</t>
  </si>
  <si>
    <t>13 To 17</t>
  </si>
  <si>
    <t>18 &amp;19</t>
  </si>
  <si>
    <t>Review of DCC</t>
  </si>
  <si>
    <t>Block-wise Bank Branches/CSP</t>
  </si>
  <si>
    <t>Minutes of SLBC dated 25/04/2018</t>
  </si>
  <si>
    <t>For the quarter ended June, 2018</t>
  </si>
  <si>
    <t>12(B)</t>
  </si>
  <si>
    <t>Bank Wise Business and Credit Deposit Ratio of Arunachal Pradesh in the Year 2018-19</t>
  </si>
  <si>
    <t>Analysis of Priority Sector Advances Under CROP LOAN of Arunachal Pradesh in the Year 2018-19</t>
  </si>
  <si>
    <t>Analysis of Priority Sector Advances Under INDUSTRY of Arunachal Pradesh in the Year 2018-19</t>
  </si>
  <si>
    <t>EDUCATION LOAN FOR THE YEAR 2018-19</t>
  </si>
  <si>
    <t>Recovery Position Under SGSY in the Year 2018-19</t>
  </si>
  <si>
    <t>45 To 50</t>
  </si>
  <si>
    <t>53 To 58</t>
  </si>
  <si>
    <t>84 To 89</t>
  </si>
  <si>
    <t>93 To 95</t>
  </si>
  <si>
    <t>ABBREVIATIONS USED IN THE BOOK-LET</t>
  </si>
  <si>
    <t>STATE ACHIEVEMENT VERSUS NATIONAL NORMS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</si>
</sst>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.00_ ;_ * \-#,##0.00_ ;_ * &quot;-&quot;??_ ;_ @_ "/>
    <numFmt numFmtId="165" formatCode="0.00;[Red]0.00"/>
    <numFmt numFmtId="166" formatCode="[$-4009]0.00"/>
    <numFmt numFmtId="167" formatCode="0.0"/>
  </numFmts>
  <fonts count="11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2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0"/>
      <name val="Bernard MT Condensed"/>
      <family val="1"/>
    </font>
    <font>
      <u/>
      <sz val="12"/>
      <name val="Bernard MT Condensed"/>
      <family val="1"/>
    </font>
    <font>
      <sz val="10"/>
      <name val="Calibri"/>
      <family val="2"/>
    </font>
    <font>
      <sz val="12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Calibri"/>
      <family val="2"/>
    </font>
    <font>
      <sz val="12"/>
      <color theme="1"/>
      <name val="Calibri"/>
      <family val="2"/>
    </font>
    <font>
      <u/>
      <sz val="14"/>
      <name val="Bernard MT Condensed"/>
      <family val="1"/>
    </font>
    <font>
      <u/>
      <sz val="16"/>
      <name val="Bernard MT Condensed"/>
      <family val="1"/>
    </font>
    <font>
      <b/>
      <sz val="12"/>
      <name val="Arial Rounded MT Bold"/>
      <family val="2"/>
    </font>
    <font>
      <sz val="11"/>
      <name val="Arial"/>
      <family val="2"/>
    </font>
    <font>
      <sz val="11"/>
      <name val="Bodoni MT Black"/>
      <family val="1"/>
    </font>
    <font>
      <sz val="11"/>
      <name val="Bernard MT Condensed"/>
      <family val="1"/>
    </font>
    <font>
      <b/>
      <u/>
      <sz val="14"/>
      <color indexed="8"/>
      <name val="Bernard MT Condensed"/>
      <family val="1"/>
    </font>
    <font>
      <b/>
      <sz val="12"/>
      <name val="Arial"/>
      <family val="2"/>
    </font>
    <font>
      <i/>
      <sz val="12"/>
      <name val="Arial"/>
      <family val="2"/>
    </font>
    <font>
      <b/>
      <sz val="16"/>
      <name val="Rockwell Extra Bold"/>
      <family val="1"/>
    </font>
    <font>
      <sz val="12"/>
      <name val="Bernard MT Condensed"/>
      <family val="1"/>
    </font>
    <font>
      <b/>
      <u/>
      <sz val="12"/>
      <name val="Bernard MT Condensed"/>
      <family val="1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sz val="10"/>
      <color theme="1"/>
      <name val="Bernard MT Condensed"/>
      <family val="1"/>
    </font>
    <font>
      <b/>
      <u/>
      <sz val="11"/>
      <color indexed="8"/>
      <name val="Bernard MT Condensed"/>
      <family val="1"/>
    </font>
    <font>
      <b/>
      <u/>
      <sz val="10"/>
      <name val="Bernard MT Condensed"/>
      <family val="1"/>
    </font>
    <font>
      <sz val="9"/>
      <name val="Bernard MT Condensed"/>
      <family val="1"/>
    </font>
    <font>
      <b/>
      <sz val="11"/>
      <name val="Bernard MT Condensed"/>
      <family val="1"/>
    </font>
    <font>
      <sz val="11"/>
      <color theme="1"/>
      <name val="Calibri"/>
      <family val="2"/>
      <scheme val="minor"/>
    </font>
    <font>
      <b/>
      <u/>
      <sz val="11"/>
      <color indexed="8"/>
      <name val="Arial"/>
      <family val="2"/>
    </font>
    <font>
      <b/>
      <sz val="10"/>
      <color indexed="8"/>
      <name val="Calibri1"/>
    </font>
    <font>
      <b/>
      <sz val="10"/>
      <name val="Calibri1"/>
    </font>
    <font>
      <sz val="10"/>
      <name val="Calibri1"/>
    </font>
    <font>
      <sz val="11"/>
      <name val="Calibri"/>
      <family val="2"/>
      <scheme val="minor"/>
    </font>
    <font>
      <b/>
      <u/>
      <sz val="14"/>
      <color indexed="8"/>
      <name val="Arial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u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u/>
      <sz val="10"/>
      <color theme="1"/>
      <name val="Arial"/>
      <family val="2"/>
    </font>
    <font>
      <b/>
      <u/>
      <sz val="11"/>
      <name val="Bernard MT Condensed"/>
      <family val="1"/>
    </font>
    <font>
      <u/>
      <sz val="16"/>
      <name val="Arial"/>
      <family val="2"/>
    </font>
    <font>
      <b/>
      <u/>
      <sz val="14"/>
      <name val="Bernard MT Condensed"/>
      <family val="1"/>
    </font>
    <font>
      <b/>
      <u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2"/>
      <color rgb="FFFF0000"/>
      <name val="Arial"/>
      <family val="2"/>
    </font>
    <font>
      <sz val="9"/>
      <name val="Arial"/>
      <family val="2"/>
    </font>
    <font>
      <b/>
      <u/>
      <sz val="12"/>
      <color indexed="8"/>
      <name val="Arial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4"/>
      <color indexed="60"/>
      <name val="Century Gothic"/>
      <family val="2"/>
    </font>
    <font>
      <b/>
      <sz val="12"/>
      <color indexed="23"/>
      <name val="Bernard MT Condensed"/>
      <family val="1"/>
    </font>
    <font>
      <sz val="10"/>
      <name val="Century Gothic"/>
      <family val="2"/>
    </font>
    <font>
      <b/>
      <u/>
      <sz val="16"/>
      <name val="Bernard MT Condensed"/>
      <family val="1"/>
    </font>
    <font>
      <b/>
      <u/>
      <sz val="20"/>
      <name val="Bernard MT Condensed"/>
      <family val="1"/>
    </font>
    <font>
      <sz val="16"/>
      <name val="Arial"/>
      <family val="2"/>
    </font>
    <font>
      <sz val="16"/>
      <name val="Bodoni MT Black"/>
      <family val="1"/>
    </font>
    <font>
      <sz val="16"/>
      <name val="Bernard MT Condensed"/>
      <family val="1"/>
    </font>
    <font>
      <sz val="12"/>
      <name val="Britannic Bold"/>
      <family val="2"/>
    </font>
    <font>
      <b/>
      <sz val="12"/>
      <name val="Calibri"/>
      <family val="2"/>
    </font>
    <font>
      <sz val="11"/>
      <name val="Calibri1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name val="Bernard MT Condensed"/>
      <family val="1"/>
    </font>
    <font>
      <b/>
      <u/>
      <sz val="8"/>
      <color rgb="FFFF0000"/>
      <name val="Bernard MT Condensed"/>
      <family val="1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u/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1"/>
    </font>
    <font>
      <b/>
      <sz val="12"/>
      <name val="Bernard MT Condensed"/>
      <family val="1"/>
    </font>
    <font>
      <b/>
      <sz val="11"/>
      <name val="Calibri"/>
      <family val="2"/>
      <scheme val="minor"/>
    </font>
    <font>
      <b/>
      <u/>
      <sz val="24"/>
      <name val="Bernard MT Condensed"/>
      <family val="1"/>
    </font>
    <font>
      <sz val="10"/>
      <color theme="3"/>
      <name val="Arial"/>
      <family val="2"/>
    </font>
    <font>
      <sz val="10"/>
      <color theme="1"/>
      <name val="Calibri"/>
      <family val="2"/>
    </font>
    <font>
      <b/>
      <sz val="12"/>
      <color theme="1"/>
      <name val="Bernard MT Condensed"/>
      <family val="1"/>
    </font>
    <font>
      <b/>
      <sz val="10"/>
      <color theme="3"/>
      <name val="Arial"/>
      <family val="2"/>
    </font>
    <font>
      <sz val="11"/>
      <color theme="3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1"/>
    </font>
    <font>
      <b/>
      <sz val="12"/>
      <color theme="1"/>
      <name val="Arial"/>
      <family val="2"/>
    </font>
    <font>
      <sz val="12"/>
      <color theme="1"/>
      <name val="Bernard MT Condensed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2" fillId="0" borderId="0"/>
    <xf numFmtId="43" fontId="45" fillId="0" borderId="0" applyFont="0" applyFill="0" applyBorder="0" applyAlignment="0" applyProtection="0"/>
    <xf numFmtId="0" fontId="4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</cellStyleXfs>
  <cellXfs count="1722">
    <xf numFmtId="0" fontId="0" fillId="0" borderId="0" xfId="0"/>
    <xf numFmtId="0" fontId="1" fillId="0" borderId="0" xfId="1"/>
    <xf numFmtId="0" fontId="4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0" fontId="1" fillId="0" borderId="0" xfId="2" applyFont="1"/>
    <xf numFmtId="2" fontId="8" fillId="0" borderId="0" xfId="2" applyNumberFormat="1" applyFont="1"/>
    <xf numFmtId="0" fontId="1" fillId="0" borderId="0" xfId="1" applyFont="1"/>
    <xf numFmtId="0" fontId="1" fillId="0" borderId="2" xfId="2" applyFont="1" applyBorder="1" applyAlignment="1">
      <alignment horizontal="center"/>
    </xf>
    <xf numFmtId="0" fontId="1" fillId="0" borderId="2" xfId="2" applyFont="1" applyBorder="1"/>
    <xf numFmtId="2" fontId="1" fillId="0" borderId="1" xfId="1" applyNumberFormat="1" applyFont="1" applyBorder="1"/>
    <xf numFmtId="2" fontId="1" fillId="0" borderId="0" xfId="1" applyNumberFormat="1" applyFont="1"/>
    <xf numFmtId="0" fontId="3" fillId="0" borderId="2" xfId="2" applyFont="1" applyBorder="1"/>
    <xf numFmtId="0" fontId="3" fillId="0" borderId="2" xfId="2" applyFont="1" applyBorder="1" applyAlignment="1">
      <alignment horizontal="center"/>
    </xf>
    <xf numFmtId="0" fontId="1" fillId="0" borderId="0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Fill="1" applyBorder="1"/>
    <xf numFmtId="0" fontId="9" fillId="0" borderId="1" xfId="2" applyFont="1" applyFill="1" applyBorder="1" applyAlignment="1">
      <alignment horizontal="center"/>
    </xf>
    <xf numFmtId="2" fontId="3" fillId="0" borderId="1" xfId="2" applyNumberFormat="1" applyFont="1" applyBorder="1"/>
    <xf numFmtId="2" fontId="3" fillId="0" borderId="0" xfId="2" applyNumberFormat="1" applyFont="1" applyBorder="1"/>
    <xf numFmtId="0" fontId="11" fillId="0" borderId="0" xfId="2" applyFont="1"/>
    <xf numFmtId="0" fontId="3" fillId="0" borderId="1" xfId="2" applyFont="1" applyBorder="1"/>
    <xf numFmtId="0" fontId="3" fillId="0" borderId="1" xfId="2" applyFont="1" applyFill="1" applyBorder="1" applyAlignment="1">
      <alignment horizontal="center"/>
    </xf>
    <xf numFmtId="0" fontId="6" fillId="0" borderId="1" xfId="2" applyFont="1" applyBorder="1"/>
    <xf numFmtId="0" fontId="12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/>
    <xf numFmtId="2" fontId="1" fillId="0" borderId="0" xfId="2" applyNumberFormat="1" applyFont="1"/>
    <xf numFmtId="2" fontId="3" fillId="0" borderId="0" xfId="2" applyNumberFormat="1" applyFont="1" applyFill="1" applyBorder="1"/>
    <xf numFmtId="0" fontId="1" fillId="3" borderId="2" xfId="2" applyFont="1" applyFill="1" applyBorder="1"/>
    <xf numFmtId="0" fontId="1" fillId="0" borderId="2" xfId="2" applyFont="1" applyFill="1" applyBorder="1"/>
    <xf numFmtId="0" fontId="1" fillId="0" borderId="2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" fillId="0" borderId="5" xfId="2" applyFont="1" applyBorder="1" applyAlignment="1">
      <alignment horizontal="center"/>
    </xf>
    <xf numFmtId="2" fontId="1" fillId="0" borderId="3" xfId="1" applyNumberFormat="1" applyFont="1" applyBorder="1"/>
    <xf numFmtId="2" fontId="1" fillId="0" borderId="2" xfId="1" applyNumberFormat="1" applyFont="1" applyBorder="1"/>
    <xf numFmtId="2" fontId="1" fillId="0" borderId="2" xfId="2" applyNumberFormat="1" applyFont="1" applyFill="1" applyBorder="1"/>
    <xf numFmtId="2" fontId="1" fillId="0" borderId="5" xfId="1" applyNumberFormat="1" applyFont="1" applyBorder="1"/>
    <xf numFmtId="2" fontId="1" fillId="0" borderId="2" xfId="2" applyNumberFormat="1" applyFont="1" applyBorder="1"/>
    <xf numFmtId="2" fontId="15" fillId="0" borderId="2" xfId="2" applyNumberFormat="1" applyFont="1" applyBorder="1"/>
    <xf numFmtId="2" fontId="15" fillId="0" borderId="1" xfId="2" applyNumberFormat="1" applyFont="1" applyBorder="1" applyAlignment="1">
      <alignment horizontal="right"/>
    </xf>
    <xf numFmtId="0" fontId="1" fillId="0" borderId="1" xfId="2" applyFont="1" applyBorder="1" applyAlignment="1">
      <alignment horizontal="right"/>
    </xf>
    <xf numFmtId="2" fontId="1" fillId="0" borderId="1" xfId="2" applyNumberFormat="1" applyFont="1" applyBorder="1" applyAlignment="1">
      <alignment horizontal="right"/>
    </xf>
    <xf numFmtId="2" fontId="1" fillId="2" borderId="2" xfId="2" applyNumberFormat="1" applyFont="1" applyFill="1" applyBorder="1"/>
    <xf numFmtId="2" fontId="1" fillId="0" borderId="2" xfId="2" applyNumberFormat="1" applyFont="1" applyBorder="1" applyAlignment="1">
      <alignment horizontal="right"/>
    </xf>
    <xf numFmtId="2" fontId="15" fillId="0" borderId="2" xfId="1" applyNumberFormat="1" applyFont="1" applyBorder="1"/>
    <xf numFmtId="2" fontId="15" fillId="0" borderId="5" xfId="1" applyNumberFormat="1" applyFont="1" applyBorder="1"/>
    <xf numFmtId="2" fontId="1" fillId="2" borderId="2" xfId="1" applyNumberFormat="1" applyFont="1" applyFill="1" applyBorder="1"/>
    <xf numFmtId="2" fontId="1" fillId="0" borderId="1" xfId="2" applyNumberFormat="1" applyFont="1" applyFill="1" applyBorder="1" applyAlignment="1">
      <alignment horizontal="right"/>
    </xf>
    <xf numFmtId="2" fontId="15" fillId="0" borderId="1" xfId="1" applyNumberFormat="1" applyFont="1" applyBorder="1"/>
    <xf numFmtId="2" fontId="1" fillId="0" borderId="1" xfId="1" applyNumberFormat="1" applyFont="1" applyFill="1" applyBorder="1"/>
    <xf numFmtId="0" fontId="3" fillId="0" borderId="0" xfId="2" applyFont="1" applyFill="1" applyBorder="1"/>
    <xf numFmtId="2" fontId="16" fillId="0" borderId="0" xfId="2" applyNumberFormat="1" applyFont="1" applyBorder="1"/>
    <xf numFmtId="0" fontId="1" fillId="0" borderId="0" xfId="2" applyFont="1" applyBorder="1" applyAlignment="1">
      <alignment horizontal="center"/>
    </xf>
    <xf numFmtId="0" fontId="3" fillId="0" borderId="0" xfId="2" applyFont="1" applyBorder="1"/>
    <xf numFmtId="2" fontId="16" fillId="0" borderId="0" xfId="2" applyNumberFormat="1" applyFont="1" applyBorder="1" applyAlignment="1">
      <alignment horizontal="right"/>
    </xf>
    <xf numFmtId="0" fontId="3" fillId="0" borderId="0" xfId="2" applyFont="1" applyFill="1" applyBorder="1" applyAlignment="1">
      <alignment horizontal="right"/>
    </xf>
    <xf numFmtId="0" fontId="3" fillId="4" borderId="2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/>
    </xf>
    <xf numFmtId="2" fontId="3" fillId="4" borderId="1" xfId="2" applyNumberFormat="1" applyFont="1" applyFill="1" applyBorder="1"/>
    <xf numFmtId="2" fontId="15" fillId="2" borderId="2" xfId="1" applyNumberFormat="1" applyFont="1" applyFill="1" applyBorder="1"/>
    <xf numFmtId="0" fontId="13" fillId="0" borderId="1" xfId="2" applyFont="1" applyBorder="1"/>
    <xf numFmtId="0" fontId="14" fillId="0" borderId="1" xfId="2" applyFont="1" applyBorder="1"/>
    <xf numFmtId="0" fontId="13" fillId="0" borderId="2" xfId="2" applyFont="1" applyBorder="1" applyAlignment="1">
      <alignment horizontal="center"/>
    </xf>
    <xf numFmtId="0" fontId="13" fillId="0" borderId="2" xfId="2" applyFont="1" applyBorder="1"/>
    <xf numFmtId="0" fontId="14" fillId="0" borderId="2" xfId="2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2" fontId="1" fillId="0" borderId="1" xfId="2" applyNumberFormat="1" applyFont="1" applyBorder="1"/>
    <xf numFmtId="0" fontId="15" fillId="0" borderId="2" xfId="2" applyFont="1" applyBorder="1" applyAlignment="1">
      <alignment horizontal="center"/>
    </xf>
    <xf numFmtId="0" fontId="15" fillId="0" borderId="2" xfId="2" applyFont="1" applyBorder="1"/>
    <xf numFmtId="0" fontId="15" fillId="0" borderId="5" xfId="2" applyFont="1" applyBorder="1" applyAlignment="1">
      <alignment horizontal="center"/>
    </xf>
    <xf numFmtId="0" fontId="15" fillId="0" borderId="2" xfId="2" applyFont="1" applyFill="1" applyBorder="1"/>
    <xf numFmtId="0" fontId="15" fillId="0" borderId="5" xfId="2" applyFont="1" applyFill="1" applyBorder="1" applyAlignment="1">
      <alignment horizontal="center"/>
    </xf>
    <xf numFmtId="0" fontId="17" fillId="0" borderId="1" xfId="2" applyFont="1" applyBorder="1"/>
    <xf numFmtId="0" fontId="19" fillId="0" borderId="1" xfId="2" applyFont="1" applyBorder="1"/>
    <xf numFmtId="0" fontId="15" fillId="0" borderId="1" xfId="2" applyFont="1" applyBorder="1" applyAlignment="1">
      <alignment horizontal="center"/>
    </xf>
    <xf numFmtId="0" fontId="15" fillId="3" borderId="1" xfId="2" applyFont="1" applyFill="1" applyBorder="1"/>
    <xf numFmtId="0" fontId="15" fillId="3" borderId="1" xfId="2" applyFont="1" applyFill="1" applyBorder="1" applyAlignment="1">
      <alignment horizontal="center"/>
    </xf>
    <xf numFmtId="2" fontId="15" fillId="3" borderId="1" xfId="2" applyNumberFormat="1" applyFont="1" applyFill="1" applyBorder="1" applyAlignment="1">
      <alignment horizontal="right"/>
    </xf>
    <xf numFmtId="2" fontId="8" fillId="5" borderId="0" xfId="2" applyNumberFormat="1" applyFont="1" applyFill="1"/>
    <xf numFmtId="0" fontId="8" fillId="5" borderId="0" xfId="2" applyFont="1" applyFill="1"/>
    <xf numFmtId="2" fontId="8" fillId="6" borderId="0" xfId="2" applyNumberFormat="1" applyFont="1" applyFill="1"/>
    <xf numFmtId="0" fontId="1" fillId="3" borderId="1" xfId="2" applyFont="1" applyFill="1" applyBorder="1"/>
    <xf numFmtId="0" fontId="1" fillId="3" borderId="1" xfId="2" applyFont="1" applyFill="1" applyBorder="1" applyAlignment="1">
      <alignment horizontal="center"/>
    </xf>
    <xf numFmtId="2" fontId="1" fillId="3" borderId="1" xfId="2" applyNumberFormat="1" applyFont="1" applyFill="1" applyBorder="1" applyAlignment="1">
      <alignment horizontal="right"/>
    </xf>
    <xf numFmtId="1" fontId="1" fillId="0" borderId="1" xfId="2" applyNumberFormat="1" applyFont="1" applyFill="1" applyBorder="1" applyAlignment="1">
      <alignment horizontal="center"/>
    </xf>
    <xf numFmtId="2" fontId="1" fillId="0" borderId="1" xfId="2" applyNumberFormat="1" applyFont="1" applyFill="1" applyBorder="1"/>
    <xf numFmtId="2" fontId="3" fillId="0" borderId="1" xfId="2" applyNumberFormat="1" applyFont="1" applyFill="1" applyBorder="1" applyAlignment="1">
      <alignment horizontal="right"/>
    </xf>
    <xf numFmtId="0" fontId="16" fillId="0" borderId="2" xfId="2" applyFont="1" applyFill="1" applyBorder="1"/>
    <xf numFmtId="0" fontId="16" fillId="0" borderId="2" xfId="2" applyFont="1" applyFill="1" applyBorder="1" applyAlignment="1">
      <alignment horizontal="center"/>
    </xf>
    <xf numFmtId="2" fontId="16" fillId="0" borderId="2" xfId="2" applyNumberFormat="1" applyFont="1" applyBorder="1"/>
    <xf numFmtId="0" fontId="15" fillId="0" borderId="2" xfId="2" applyFont="1" applyFill="1" applyBorder="1" applyAlignment="1">
      <alignment horizontal="center"/>
    </xf>
    <xf numFmtId="2" fontId="15" fillId="0" borderId="2" xfId="2" applyNumberFormat="1" applyFont="1" applyFill="1" applyBorder="1"/>
    <xf numFmtId="0" fontId="22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 wrapText="1"/>
    </xf>
    <xf numFmtId="0" fontId="25" fillId="0" borderId="3" xfId="0" applyFont="1" applyBorder="1"/>
    <xf numFmtId="0" fontId="23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 wrapText="1"/>
    </xf>
    <xf numFmtId="0" fontId="25" fillId="0" borderId="2" xfId="0" applyFont="1" applyBorder="1"/>
    <xf numFmtId="0" fontId="23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10" xfId="0" applyFont="1" applyFill="1" applyBorder="1"/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0" fontId="27" fillId="0" borderId="7" xfId="2" applyFont="1" applyBorder="1" applyAlignment="1">
      <alignment horizont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wrapText="1"/>
    </xf>
    <xf numFmtId="0" fontId="6" fillId="0" borderId="9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27" fillId="0" borderId="3" xfId="2" applyFont="1" applyBorder="1" applyAlignment="1">
      <alignment horizontal="center" wrapText="1"/>
    </xf>
    <xf numFmtId="0" fontId="27" fillId="0" borderId="9" xfId="2" applyFont="1" applyBorder="1" applyAlignment="1">
      <alignment horizontal="center" wrapText="1"/>
    </xf>
    <xf numFmtId="0" fontId="27" fillId="0" borderId="2" xfId="2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30" fillId="0" borderId="5" xfId="0" applyFont="1" applyBorder="1"/>
    <xf numFmtId="0" fontId="30" fillId="0" borderId="5" xfId="0" applyFont="1" applyFill="1" applyBorder="1"/>
    <xf numFmtId="0" fontId="30" fillId="0" borderId="6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32" fillId="4" borderId="1" xfId="2" applyFont="1" applyFill="1" applyBorder="1" applyAlignment="1">
      <alignment horizontal="center" vertical="center" wrapText="1"/>
    </xf>
    <xf numFmtId="0" fontId="33" fillId="0" borderId="1" xfId="2" applyFont="1" applyBorder="1" applyAlignment="1">
      <alignment horizontal="right" wrapText="1"/>
    </xf>
    <xf numFmtId="0" fontId="33" fillId="0" borderId="1" xfId="2" applyFont="1" applyBorder="1"/>
    <xf numFmtId="2" fontId="34" fillId="0" borderId="1" xfId="2" applyNumberFormat="1" applyFont="1" applyBorder="1" applyAlignment="1">
      <alignment horizontal="right"/>
    </xf>
    <xf numFmtId="2" fontId="34" fillId="0" borderId="1" xfId="2" applyNumberFormat="1" applyFont="1" applyBorder="1" applyAlignment="1">
      <alignment horizontal="right" wrapText="1"/>
    </xf>
    <xf numFmtId="0" fontId="34" fillId="0" borderId="1" xfId="2" applyFont="1" applyBorder="1"/>
    <xf numFmtId="2" fontId="15" fillId="0" borderId="2" xfId="0" applyNumberFormat="1" applyFont="1" applyBorder="1"/>
    <xf numFmtId="2" fontId="15" fillId="0" borderId="5" xfId="0" applyNumberFormat="1" applyFont="1" applyBorder="1"/>
    <xf numFmtId="0" fontId="33" fillId="0" borderId="1" xfId="2" applyFont="1" applyFill="1" applyBorder="1" applyAlignment="1">
      <alignment horizontal="right" wrapText="1"/>
    </xf>
    <xf numFmtId="0" fontId="33" fillId="0" borderId="1" xfId="2" applyFont="1" applyFill="1" applyBorder="1"/>
    <xf numFmtId="2" fontId="15" fillId="0" borderId="2" xfId="0" applyNumberFormat="1" applyFont="1" applyFill="1" applyBorder="1"/>
    <xf numFmtId="2" fontId="15" fillId="0" borderId="5" xfId="0" applyNumberFormat="1" applyFont="1" applyFill="1" applyBorder="1"/>
    <xf numFmtId="2" fontId="34" fillId="0" borderId="1" xfId="2" applyNumberFormat="1" applyFont="1" applyFill="1" applyBorder="1" applyAlignment="1">
      <alignment horizontal="right" wrapText="1"/>
    </xf>
    <xf numFmtId="2" fontId="15" fillId="2" borderId="2" xfId="0" applyNumberFormat="1" applyFont="1" applyFill="1" applyBorder="1"/>
    <xf numFmtId="2" fontId="34" fillId="0" borderId="1" xfId="2" applyNumberFormat="1" applyFont="1" applyFill="1" applyBorder="1"/>
    <xf numFmtId="0" fontId="35" fillId="0" borderId="1" xfId="2" applyFont="1" applyBorder="1" applyAlignment="1">
      <alignment horizontal="right" wrapText="1"/>
    </xf>
    <xf numFmtId="0" fontId="35" fillId="0" borderId="1" xfId="2" applyFont="1" applyBorder="1"/>
    <xf numFmtId="2" fontId="36" fillId="0" borderId="1" xfId="2" applyNumberFormat="1" applyFont="1" applyFill="1" applyBorder="1" applyAlignment="1">
      <alignment horizontal="right"/>
    </xf>
    <xf numFmtId="2" fontId="36" fillId="0" borderId="1" xfId="2" applyNumberFormat="1" applyFont="1" applyBorder="1" applyAlignment="1">
      <alignment horizontal="right" wrapText="1"/>
    </xf>
    <xf numFmtId="2" fontId="36" fillId="0" borderId="1" xfId="2" applyNumberFormat="1" applyFont="1" applyBorder="1"/>
    <xf numFmtId="0" fontId="35" fillId="0" borderId="13" xfId="2" applyFont="1" applyFill="1" applyBorder="1" applyAlignment="1">
      <alignment horizontal="right" wrapText="1"/>
    </xf>
    <xf numFmtId="2" fontId="36" fillId="0" borderId="13" xfId="2" applyNumberFormat="1" applyFont="1" applyFill="1" applyBorder="1"/>
    <xf numFmtId="0" fontId="11" fillId="0" borderId="14" xfId="2" applyFont="1" applyBorder="1" applyAlignment="1">
      <alignment wrapText="1"/>
    </xf>
    <xf numFmtId="0" fontId="11" fillId="0" borderId="15" xfId="2" applyFont="1" applyBorder="1" applyAlignment="1">
      <alignment wrapText="1"/>
    </xf>
    <xf numFmtId="0" fontId="18" fillId="0" borderId="15" xfId="2" applyFont="1" applyBorder="1"/>
    <xf numFmtId="0" fontId="18" fillId="0" borderId="16" xfId="2" applyFont="1" applyBorder="1"/>
    <xf numFmtId="0" fontId="38" fillId="0" borderId="0" xfId="2" applyFont="1"/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33" fillId="0" borderId="1" xfId="2" applyNumberFormat="1" applyFont="1" applyBorder="1" applyAlignment="1">
      <alignment horizontal="right"/>
    </xf>
    <xf numFmtId="2" fontId="1" fillId="0" borderId="1" xfId="0" applyNumberFormat="1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2" fontId="15" fillId="0" borderId="1" xfId="0" applyNumberFormat="1" applyFont="1" applyFill="1" applyBorder="1"/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Font="1" applyFill="1" applyBorder="1"/>
    <xf numFmtId="0" fontId="0" fillId="0" borderId="0" xfId="0" applyFont="1"/>
    <xf numFmtId="0" fontId="13" fillId="0" borderId="0" xfId="0" applyFont="1"/>
    <xf numFmtId="0" fontId="3" fillId="4" borderId="3" xfId="2" applyFont="1" applyFill="1" applyBorder="1" applyAlignment="1">
      <alignment horizontal="center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wrapText="1"/>
    </xf>
    <xf numFmtId="2" fontId="1" fillId="0" borderId="9" xfId="2" applyNumberFormat="1" applyFont="1" applyBorder="1" applyAlignment="1">
      <alignment wrapText="1"/>
    </xf>
    <xf numFmtId="2" fontId="1" fillId="0" borderId="3" xfId="2" applyNumberFormat="1" applyFont="1" applyBorder="1" applyAlignment="1">
      <alignment wrapText="1"/>
    </xf>
    <xf numFmtId="0" fontId="15" fillId="0" borderId="1" xfId="2" applyFont="1" applyBorder="1"/>
    <xf numFmtId="0" fontId="15" fillId="0" borderId="1" xfId="2" applyFont="1" applyFill="1" applyBorder="1" applyAlignment="1">
      <alignment horizontal="center"/>
    </xf>
    <xf numFmtId="2" fontId="15" fillId="0" borderId="1" xfId="2" applyNumberFormat="1" applyFont="1" applyFill="1" applyBorder="1" applyAlignment="1">
      <alignment horizontal="right"/>
    </xf>
    <xf numFmtId="1" fontId="15" fillId="3" borderId="1" xfId="2" applyNumberFormat="1" applyFont="1" applyFill="1" applyBorder="1" applyAlignment="1">
      <alignment horizontal="center"/>
    </xf>
    <xf numFmtId="0" fontId="16" fillId="0" borderId="1" xfId="2" applyFont="1" applyFill="1" applyBorder="1"/>
    <xf numFmtId="0" fontId="16" fillId="0" borderId="1" xfId="2" applyFont="1" applyFill="1" applyBorder="1" applyAlignment="1">
      <alignment horizontal="center"/>
    </xf>
    <xf numFmtId="2" fontId="16" fillId="0" borderId="1" xfId="2" applyNumberFormat="1" applyFont="1" applyBorder="1"/>
    <xf numFmtId="2" fontId="15" fillId="0" borderId="1" xfId="2" applyNumberFormat="1" applyFont="1" applyBorder="1"/>
    <xf numFmtId="1" fontId="15" fillId="0" borderId="1" xfId="2" applyNumberFormat="1" applyFont="1" applyFill="1" applyBorder="1" applyAlignment="1">
      <alignment horizontal="center"/>
    </xf>
    <xf numFmtId="0" fontId="15" fillId="0" borderId="1" xfId="2" applyFont="1" applyFill="1" applyBorder="1"/>
    <xf numFmtId="1" fontId="15" fillId="0" borderId="1" xfId="2" applyNumberFormat="1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40" fillId="0" borderId="1" xfId="2" applyFont="1" applyFill="1" applyBorder="1" applyAlignment="1">
      <alignment horizontal="center"/>
    </xf>
    <xf numFmtId="0" fontId="16" fillId="0" borderId="2" xfId="2" applyFont="1" applyBorder="1"/>
    <xf numFmtId="0" fontId="16" fillId="0" borderId="2" xfId="2" applyFont="1" applyBorder="1" applyAlignment="1">
      <alignment horizontal="center"/>
    </xf>
    <xf numFmtId="0" fontId="32" fillId="0" borderId="1" xfId="2" applyFont="1" applyBorder="1"/>
    <xf numFmtId="2" fontId="16" fillId="0" borderId="1" xfId="2" applyNumberFormat="1" applyFont="1" applyBorder="1" applyAlignment="1">
      <alignment horizontal="right"/>
    </xf>
    <xf numFmtId="2" fontId="3" fillId="0" borderId="2" xfId="2" applyNumberFormat="1" applyFont="1" applyFill="1" applyBorder="1"/>
    <xf numFmtId="2" fontId="3" fillId="0" borderId="1" xfId="2" applyNumberFormat="1" applyFont="1" applyFill="1" applyBorder="1"/>
    <xf numFmtId="2" fontId="0" fillId="0" borderId="0" xfId="0" applyNumberFormat="1"/>
    <xf numFmtId="2" fontId="15" fillId="3" borderId="0" xfId="2" applyNumberFormat="1" applyFont="1" applyFill="1" applyBorder="1" applyAlignment="1">
      <alignment horizontal="right"/>
    </xf>
    <xf numFmtId="0" fontId="5" fillId="4" borderId="4" xfId="2" applyFont="1" applyFill="1" applyBorder="1" applyAlignment="1">
      <alignment horizontal="center" vertical="center" wrapText="1"/>
    </xf>
    <xf numFmtId="0" fontId="33" fillId="0" borderId="1" xfId="2" applyFont="1" applyBorder="1" applyAlignment="1">
      <alignment horizontal="center" wrapText="1"/>
    </xf>
    <xf numFmtId="2" fontId="33" fillId="0" borderId="1" xfId="2" applyNumberFormat="1" applyFont="1" applyBorder="1"/>
    <xf numFmtId="165" fontId="33" fillId="0" borderId="1" xfId="2" applyNumberFormat="1" applyFont="1" applyBorder="1"/>
    <xf numFmtId="2" fontId="34" fillId="0" borderId="1" xfId="2" applyNumberFormat="1" applyFont="1" applyBorder="1"/>
    <xf numFmtId="0" fontId="33" fillId="0" borderId="1" xfId="2" applyFont="1" applyFill="1" applyBorder="1" applyAlignment="1">
      <alignment horizontal="center" wrapText="1"/>
    </xf>
    <xf numFmtId="0" fontId="43" fillId="4" borderId="1" xfId="2" applyFont="1" applyFill="1" applyBorder="1" applyAlignment="1">
      <alignment horizontal="center" vertical="center" wrapText="1"/>
    </xf>
    <xf numFmtId="0" fontId="33" fillId="0" borderId="1" xfId="2" applyFont="1" applyBorder="1" applyAlignment="1">
      <alignment wrapText="1"/>
    </xf>
    <xf numFmtId="0" fontId="33" fillId="0" borderId="1" xfId="2" applyFont="1" applyFill="1" applyBorder="1" applyAlignment="1">
      <alignment wrapText="1"/>
    </xf>
    <xf numFmtId="0" fontId="34" fillId="0" borderId="1" xfId="2" applyFont="1" applyFill="1" applyBorder="1" applyAlignment="1">
      <alignment horizontal="center" wrapText="1"/>
    </xf>
    <xf numFmtId="0" fontId="34" fillId="0" borderId="1" xfId="2" applyFont="1" applyFill="1" applyBorder="1" applyAlignment="1">
      <alignment wrapText="1"/>
    </xf>
    <xf numFmtId="0" fontId="47" fillId="4" borderId="2" xfId="2" applyFont="1" applyFill="1" applyBorder="1" applyAlignment="1">
      <alignment horizontal="center" vertical="center" wrapText="1"/>
    </xf>
    <xf numFmtId="0" fontId="48" fillId="4" borderId="2" xfId="2" applyFont="1" applyFill="1" applyBorder="1" applyAlignment="1">
      <alignment horizontal="center" vertical="center" wrapText="1"/>
    </xf>
    <xf numFmtId="0" fontId="48" fillId="4" borderId="4" xfId="2" applyFont="1" applyFill="1" applyBorder="1" applyAlignment="1">
      <alignment horizontal="center" vertical="center" wrapText="1"/>
    </xf>
    <xf numFmtId="0" fontId="49" fillId="0" borderId="2" xfId="2" applyFont="1" applyBorder="1" applyAlignment="1">
      <alignment horizontal="center" wrapText="1"/>
    </xf>
    <xf numFmtId="0" fontId="49" fillId="0" borderId="2" xfId="2" applyFont="1" applyBorder="1" applyAlignment="1">
      <alignment wrapText="1"/>
    </xf>
    <xf numFmtId="0" fontId="49" fillId="0" borderId="5" xfId="2" applyFont="1" applyBorder="1" applyAlignment="1">
      <alignment wrapText="1"/>
    </xf>
    <xf numFmtId="0" fontId="50" fillId="0" borderId="1" xfId="4" applyFont="1" applyBorder="1"/>
    <xf numFmtId="2" fontId="49" fillId="0" borderId="11" xfId="2" applyNumberFormat="1" applyFont="1" applyBorder="1" applyAlignment="1">
      <alignment wrapText="1"/>
    </xf>
    <xf numFmtId="2" fontId="49" fillId="0" borderId="2" xfId="2" applyNumberFormat="1" applyFont="1" applyBorder="1" applyAlignment="1">
      <alignment wrapText="1"/>
    </xf>
    <xf numFmtId="2" fontId="49" fillId="0" borderId="2" xfId="2" applyNumberFormat="1" applyFont="1" applyBorder="1"/>
    <xf numFmtId="0" fontId="16" fillId="4" borderId="3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wrapText="1"/>
    </xf>
    <xf numFmtId="0" fontId="1" fillId="0" borderId="3" xfId="2" applyFont="1" applyBorder="1" applyAlignment="1">
      <alignment wrapText="1"/>
    </xf>
    <xf numFmtId="2" fontId="1" fillId="0" borderId="2" xfId="2" applyNumberFormat="1" applyFont="1" applyBorder="1" applyAlignment="1">
      <alignment horizontal="right" wrapText="1"/>
    </xf>
    <xf numFmtId="2" fontId="1" fillId="0" borderId="2" xfId="2" applyNumberFormat="1" applyFont="1" applyBorder="1" applyAlignment="1">
      <alignment wrapText="1"/>
    </xf>
    <xf numFmtId="2" fontId="1" fillId="0" borderId="21" xfId="2" applyNumberFormat="1" applyFont="1" applyBorder="1" applyAlignment="1">
      <alignment wrapText="1"/>
    </xf>
    <xf numFmtId="0" fontId="15" fillId="0" borderId="9" xfId="2" applyFont="1" applyBorder="1" applyAlignment="1">
      <alignment horizontal="center" wrapText="1"/>
    </xf>
    <xf numFmtId="0" fontId="52" fillId="4" borderId="1" xfId="2" applyFont="1" applyFill="1" applyBorder="1" applyAlignment="1">
      <alignment horizontal="center" vertical="center" wrapText="1"/>
    </xf>
    <xf numFmtId="0" fontId="52" fillId="4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3" fillId="4" borderId="1" xfId="2" applyFont="1" applyFill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/>
    <xf numFmtId="0" fontId="56" fillId="0" borderId="0" xfId="0" applyFont="1"/>
    <xf numFmtId="0" fontId="52" fillId="4" borderId="1" xfId="0" applyFont="1" applyFill="1" applyBorder="1" applyAlignment="1">
      <alignment horizontal="center"/>
    </xf>
    <xf numFmtId="0" fontId="52" fillId="4" borderId="1" xfId="0" applyFont="1" applyFill="1" applyBorder="1" applyAlignment="1">
      <alignment horizontal="right"/>
    </xf>
    <xf numFmtId="0" fontId="52" fillId="4" borderId="1" xfId="0" applyFont="1" applyFill="1" applyBorder="1" applyAlignment="1"/>
    <xf numFmtId="0" fontId="25" fillId="4" borderId="1" xfId="0" applyFont="1" applyFill="1" applyBorder="1" applyAlignment="1">
      <alignment horizontal="center" wrapText="1"/>
    </xf>
    <xf numFmtId="0" fontId="39" fillId="0" borderId="0" xfId="0" applyFont="1"/>
    <xf numFmtId="0" fontId="35" fillId="4" borderId="1" xfId="2" applyFont="1" applyFill="1" applyBorder="1" applyAlignment="1">
      <alignment horizontal="center" vertical="center" wrapText="1"/>
    </xf>
    <xf numFmtId="0" fontId="15" fillId="0" borderId="0" xfId="0" applyFont="1"/>
    <xf numFmtId="0" fontId="39" fillId="0" borderId="0" xfId="2" applyFont="1" applyBorder="1" applyAlignment="1">
      <alignment wrapText="1"/>
    </xf>
    <xf numFmtId="0" fontId="1" fillId="0" borderId="0" xfId="0" applyFont="1"/>
    <xf numFmtId="0" fontId="0" fillId="0" borderId="0" xfId="0" applyFont="1" applyBorder="1"/>
    <xf numFmtId="0" fontId="39" fillId="0" borderId="0" xfId="0" applyFont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right" wrapText="1"/>
    </xf>
    <xf numFmtId="2" fontId="0" fillId="0" borderId="9" xfId="0" applyNumberFormat="1" applyFont="1" applyFill="1" applyBorder="1" applyAlignment="1">
      <alignment horizontal="right" wrapText="1"/>
    </xf>
    <xf numFmtId="2" fontId="0" fillId="0" borderId="7" xfId="0" applyNumberFormat="1" applyFont="1" applyFill="1" applyBorder="1" applyAlignment="1">
      <alignment horizontal="right" wrapText="1"/>
    </xf>
    <xf numFmtId="2" fontId="0" fillId="0" borderId="1" xfId="0" applyNumberFormat="1" applyFont="1" applyFill="1" applyBorder="1" applyAlignment="1">
      <alignment horizontal="right" wrapText="1"/>
    </xf>
    <xf numFmtId="2" fontId="0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55" fillId="4" borderId="1" xfId="0" applyFont="1" applyFill="1" applyBorder="1" applyAlignment="1">
      <alignment horizontal="center" wrapText="1"/>
    </xf>
    <xf numFmtId="2" fontId="15" fillId="0" borderId="0" xfId="0" applyNumberFormat="1" applyFont="1"/>
    <xf numFmtId="0" fontId="27" fillId="0" borderId="0" xfId="0" applyFont="1" applyBorder="1" applyAlignment="1" applyProtection="1">
      <alignment horizontal="left"/>
    </xf>
    <xf numFmtId="0" fontId="6" fillId="0" borderId="0" xfId="0" applyFont="1" applyBorder="1" applyAlignment="1">
      <alignment wrapText="1"/>
    </xf>
    <xf numFmtId="0" fontId="39" fillId="0" borderId="20" xfId="0" applyFont="1" applyBorder="1" applyAlignment="1">
      <alignment horizontal="center"/>
    </xf>
    <xf numFmtId="0" fontId="0" fillId="4" borderId="17" xfId="0" applyFont="1" applyFill="1" applyBorder="1" applyAlignment="1">
      <alignment horizontal="center" wrapText="1"/>
    </xf>
    <xf numFmtId="0" fontId="60" fillId="0" borderId="0" xfId="0" applyFont="1" applyBorder="1" applyAlignment="1">
      <alignment horizontal="center"/>
    </xf>
    <xf numFmtId="0" fontId="54" fillId="0" borderId="0" xfId="0" applyFont="1"/>
    <xf numFmtId="0" fontId="6" fillId="0" borderId="0" xfId="0" applyFont="1"/>
    <xf numFmtId="0" fontId="55" fillId="4" borderId="3" xfId="0" applyFont="1" applyFill="1" applyBorder="1" applyAlignment="1">
      <alignment horizontal="center" vertical="center"/>
    </xf>
    <xf numFmtId="0" fontId="55" fillId="4" borderId="2" xfId="0" applyFont="1" applyFill="1" applyBorder="1" applyAlignment="1">
      <alignment horizontal="center" vertical="center"/>
    </xf>
    <xf numFmtId="0" fontId="39" fillId="0" borderId="0" xfId="0" applyFont="1" applyBorder="1" applyAlignment="1" applyProtection="1">
      <protection locked="0"/>
    </xf>
    <xf numFmtId="0" fontId="65" fillId="0" borderId="0" xfId="0" applyFont="1" applyBorder="1" applyAlignment="1" applyProtection="1">
      <alignment horizontal="left"/>
    </xf>
    <xf numFmtId="0" fontId="0" fillId="4" borderId="2" xfId="0" applyFont="1" applyFill="1" applyBorder="1" applyAlignment="1" applyProtection="1">
      <alignment horizontal="center" wrapText="1"/>
      <protection locked="0"/>
    </xf>
    <xf numFmtId="0" fontId="0" fillId="4" borderId="3" xfId="0" applyFont="1" applyFill="1" applyBorder="1" applyAlignment="1" applyProtection="1">
      <alignment horizontal="center" wrapText="1"/>
      <protection locked="0"/>
    </xf>
    <xf numFmtId="0" fontId="8" fillId="0" borderId="0" xfId="0" applyFont="1"/>
    <xf numFmtId="0" fontId="7" fillId="0" borderId="0" xfId="0" applyFont="1" applyAlignment="1"/>
    <xf numFmtId="0" fontId="39" fillId="0" borderId="0" xfId="0" applyFont="1" applyAlignment="1"/>
    <xf numFmtId="0" fontId="23" fillId="4" borderId="2" xfId="0" applyFont="1" applyFill="1" applyBorder="1" applyAlignment="1" applyProtection="1">
      <alignment horizontal="center" wrapText="1"/>
      <protection locked="0"/>
    </xf>
    <xf numFmtId="0" fontId="23" fillId="4" borderId="2" xfId="0" applyFont="1" applyFill="1" applyBorder="1" applyAlignment="1" applyProtection="1">
      <alignment horizontal="center" shrinkToFit="1"/>
      <protection locked="0"/>
    </xf>
    <xf numFmtId="0" fontId="23" fillId="4" borderId="2" xfId="0" applyFont="1" applyFill="1" applyBorder="1" applyAlignment="1">
      <alignment horizontal="center" wrapText="1"/>
    </xf>
    <xf numFmtId="0" fontId="27" fillId="0" borderId="0" xfId="0" applyFont="1" applyBorder="1" applyAlignment="1" applyProtection="1"/>
    <xf numFmtId="0" fontId="39" fillId="0" borderId="20" xfId="0" applyFont="1" applyBorder="1" applyAlignment="1" applyProtection="1"/>
    <xf numFmtId="0" fontId="39" fillId="0" borderId="20" xfId="0" applyFont="1" applyBorder="1" applyAlignment="1" applyProtection="1">
      <alignment horizontal="center"/>
    </xf>
    <xf numFmtId="0" fontId="66" fillId="7" borderId="1" xfId="0" applyFont="1" applyFill="1" applyBorder="1" applyAlignment="1" applyProtection="1">
      <alignment horizontal="center"/>
    </xf>
    <xf numFmtId="0" fontId="66" fillId="4" borderId="1" xfId="0" applyFont="1" applyFill="1" applyBorder="1" applyAlignment="1">
      <alignment horizontal="center" vertical="top" wrapText="1"/>
    </xf>
    <xf numFmtId="2" fontId="66" fillId="4" borderId="1" xfId="0" applyNumberFormat="1" applyFont="1" applyFill="1" applyBorder="1" applyAlignment="1">
      <alignment horizontal="center" vertical="top" wrapText="1"/>
    </xf>
    <xf numFmtId="0" fontId="66" fillId="7" borderId="1" xfId="0" applyFont="1" applyFill="1" applyBorder="1" applyAlignment="1">
      <alignment horizontal="center" vertical="top" wrapText="1"/>
    </xf>
    <xf numFmtId="2" fontId="66" fillId="7" borderId="1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62" fillId="0" borderId="1" xfId="0" applyFont="1" applyBorder="1"/>
    <xf numFmtId="0" fontId="71" fillId="0" borderId="0" xfId="0" applyFont="1"/>
    <xf numFmtId="1" fontId="14" fillId="0" borderId="0" xfId="0" applyNumberFormat="1" applyFont="1" applyBorder="1" applyProtection="1">
      <protection locked="0"/>
    </xf>
    <xf numFmtId="2" fontId="14" fillId="0" borderId="0" xfId="0" applyNumberFormat="1" applyFont="1" applyBorder="1" applyProtection="1">
      <protection locked="0"/>
    </xf>
    <xf numFmtId="1" fontId="3" fillId="0" borderId="11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0" fontId="72" fillId="0" borderId="0" xfId="0" applyFont="1" applyBorder="1" applyAlignment="1">
      <alignment wrapText="1"/>
    </xf>
    <xf numFmtId="0" fontId="55" fillId="4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2" fontId="55" fillId="4" borderId="1" xfId="0" applyNumberFormat="1" applyFont="1" applyFill="1" applyBorder="1" applyAlignment="1">
      <alignment horizontal="center" vertical="center" wrapText="1"/>
    </xf>
    <xf numFmtId="0" fontId="62" fillId="0" borderId="0" xfId="0" applyFont="1"/>
    <xf numFmtId="2" fontId="62" fillId="0" borderId="1" xfId="0" applyNumberFormat="1" applyFont="1" applyBorder="1"/>
    <xf numFmtId="0" fontId="0" fillId="0" borderId="1" xfId="0" applyBorder="1"/>
    <xf numFmtId="0" fontId="76" fillId="8" borderId="1" xfId="0" applyFont="1" applyFill="1" applyBorder="1" applyAlignment="1">
      <alignment horizontal="center" vertical="center" wrapText="1"/>
    </xf>
    <xf numFmtId="0" fontId="77" fillId="9" borderId="1" xfId="0" applyFont="1" applyFill="1" applyBorder="1" applyAlignment="1">
      <alignment horizontal="center" vertical="center" wrapText="1"/>
    </xf>
    <xf numFmtId="0" fontId="77" fillId="9" borderId="1" xfId="0" applyFont="1" applyFill="1" applyBorder="1" applyAlignment="1">
      <alignment horizontal="right" vertical="center" wrapText="1"/>
    </xf>
    <xf numFmtId="2" fontId="77" fillId="9" borderId="1" xfId="0" applyNumberFormat="1" applyFont="1" applyFill="1" applyBorder="1" applyAlignment="1">
      <alignment horizontal="right" vertical="center" wrapText="1"/>
    </xf>
    <xf numFmtId="2" fontId="77" fillId="9" borderId="30" xfId="0" applyNumberFormat="1" applyFont="1" applyFill="1" applyBorder="1" applyAlignment="1">
      <alignment horizontal="right" vertical="center" wrapText="1"/>
    </xf>
    <xf numFmtId="0" fontId="78" fillId="9" borderId="1" xfId="0" applyFont="1" applyFill="1" applyBorder="1" applyAlignment="1">
      <alignment horizontal="right" vertical="center" wrapText="1"/>
    </xf>
    <xf numFmtId="0" fontId="78" fillId="9" borderId="1" xfId="0" applyFont="1" applyFill="1" applyBorder="1" applyAlignment="1">
      <alignment horizontal="center" vertical="center" wrapText="1"/>
    </xf>
    <xf numFmtId="2" fontId="78" fillId="9" borderId="1" xfId="0" applyNumberFormat="1" applyFont="1" applyFill="1" applyBorder="1" applyAlignment="1">
      <alignment horizontal="right" vertical="center" wrapText="1"/>
    </xf>
    <xf numFmtId="0" fontId="80" fillId="11" borderId="1" xfId="0" applyFont="1" applyFill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3" fontId="81" fillId="0" borderId="1" xfId="0" applyNumberFormat="1" applyFont="1" applyBorder="1" applyAlignment="1">
      <alignment horizontal="center" vertical="center" wrapText="1"/>
    </xf>
    <xf numFmtId="2" fontId="81" fillId="0" borderId="1" xfId="0" applyNumberFormat="1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/>
    <xf numFmtId="0" fontId="1" fillId="0" borderId="10" xfId="2" applyFont="1" applyBorder="1" applyAlignment="1">
      <alignment horizontal="center" wrapText="1"/>
    </xf>
    <xf numFmtId="0" fontId="1" fillId="0" borderId="19" xfId="2" applyFont="1" applyBorder="1" applyAlignment="1">
      <alignment wrapText="1"/>
    </xf>
    <xf numFmtId="1" fontId="1" fillId="0" borderId="19" xfId="2" applyNumberFormat="1" applyFont="1" applyBorder="1" applyAlignment="1">
      <alignment wrapText="1"/>
    </xf>
    <xf numFmtId="2" fontId="1" fillId="0" borderId="19" xfId="2" applyNumberFormat="1" applyFont="1" applyBorder="1" applyAlignment="1">
      <alignment wrapText="1"/>
    </xf>
    <xf numFmtId="2" fontId="1" fillId="0" borderId="10" xfId="2" applyNumberFormat="1" applyFont="1" applyBorder="1" applyAlignment="1">
      <alignment wrapText="1"/>
    </xf>
    <xf numFmtId="0" fontId="1" fillId="0" borderId="1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wrapText="1"/>
    </xf>
    <xf numFmtId="1" fontId="1" fillId="0" borderId="1" xfId="2" applyNumberFormat="1" applyFont="1" applyFill="1" applyBorder="1" applyAlignment="1">
      <alignment wrapText="1"/>
    </xf>
    <xf numFmtId="2" fontId="1" fillId="0" borderId="1" xfId="2" applyNumberFormat="1" applyFont="1" applyFill="1" applyBorder="1" applyAlignment="1">
      <alignment wrapText="1"/>
    </xf>
    <xf numFmtId="2" fontId="33" fillId="0" borderId="1" xfId="2" applyNumberFormat="1" applyFont="1" applyFill="1" applyBorder="1"/>
    <xf numFmtId="165" fontId="33" fillId="0" borderId="1" xfId="2" applyNumberFormat="1" applyFont="1" applyFill="1" applyBorder="1"/>
    <xf numFmtId="2" fontId="35" fillId="0" borderId="1" xfId="2" applyNumberFormat="1" applyFont="1" applyFill="1" applyBorder="1" applyAlignment="1">
      <alignment wrapText="1"/>
    </xf>
    <xf numFmtId="0" fontId="49" fillId="0" borderId="2" xfId="2" applyFont="1" applyFill="1" applyBorder="1" applyAlignment="1">
      <alignment horizontal="center" wrapText="1"/>
    </xf>
    <xf numFmtId="0" fontId="49" fillId="0" borderId="2" xfId="2" applyFont="1" applyFill="1" applyBorder="1" applyAlignment="1">
      <alignment wrapText="1"/>
    </xf>
    <xf numFmtId="0" fontId="49" fillId="0" borderId="5" xfId="2" applyFont="1" applyFill="1" applyBorder="1" applyAlignment="1">
      <alignment wrapText="1"/>
    </xf>
    <xf numFmtId="2" fontId="49" fillId="0" borderId="11" xfId="2" applyNumberFormat="1" applyFont="1" applyFill="1" applyBorder="1" applyAlignment="1">
      <alignment wrapText="1"/>
    </xf>
    <xf numFmtId="2" fontId="49" fillId="0" borderId="2" xfId="2" applyNumberFormat="1" applyFont="1" applyFill="1" applyBorder="1" applyAlignment="1">
      <alignment wrapText="1"/>
    </xf>
    <xf numFmtId="2" fontId="49" fillId="0" borderId="2" xfId="2" applyNumberFormat="1" applyFont="1" applyFill="1" applyBorder="1"/>
    <xf numFmtId="2" fontId="34" fillId="0" borderId="1" xfId="2" applyNumberFormat="1" applyFont="1" applyFill="1" applyBorder="1" applyAlignment="1">
      <alignment horizontal="right"/>
    </xf>
    <xf numFmtId="0" fontId="15" fillId="0" borderId="1" xfId="2" applyFont="1" applyFill="1" applyBorder="1" applyAlignment="1">
      <alignment wrapText="1"/>
    </xf>
    <xf numFmtId="1" fontId="15" fillId="0" borderId="1" xfId="2" applyNumberFormat="1" applyFont="1" applyFill="1" applyBorder="1" applyAlignment="1">
      <alignment wrapText="1"/>
    </xf>
    <xf numFmtId="2" fontId="15" fillId="0" borderId="1" xfId="2" applyNumberFormat="1" applyFont="1" applyFill="1" applyBorder="1" applyAlignment="1">
      <alignment wrapText="1"/>
    </xf>
    <xf numFmtId="2" fontId="1" fillId="0" borderId="19" xfId="2" applyNumberFormat="1" applyFont="1" applyFill="1" applyBorder="1" applyAlignment="1">
      <alignment wrapText="1"/>
    </xf>
    <xf numFmtId="2" fontId="33" fillId="0" borderId="1" xfId="2" applyNumberFormat="1" applyFont="1" applyFill="1" applyBorder="1" applyAlignment="1">
      <alignment horizontal="right"/>
    </xf>
    <xf numFmtId="2" fontId="15" fillId="0" borderId="0" xfId="1" applyNumberFormat="1" applyFont="1" applyBorder="1"/>
    <xf numFmtId="0" fontId="0" fillId="0" borderId="0" xfId="0" applyFill="1"/>
    <xf numFmtId="0" fontId="50" fillId="0" borderId="0" xfId="0" applyFont="1"/>
    <xf numFmtId="2" fontId="33" fillId="0" borderId="1" xfId="2" applyNumberFormat="1" applyFont="1" applyBorder="1" applyAlignment="1">
      <alignment horizontal="right" wrapText="1"/>
    </xf>
    <xf numFmtId="2" fontId="35" fillId="0" borderId="1" xfId="2" applyNumberFormat="1" applyFont="1" applyBorder="1" applyAlignment="1">
      <alignment horizontal="right" wrapText="1"/>
    </xf>
    <xf numFmtId="0" fontId="13" fillId="3" borderId="0" xfId="0" applyFont="1" applyFill="1" applyBorder="1"/>
    <xf numFmtId="2" fontId="0" fillId="4" borderId="1" xfId="0" applyNumberFormat="1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2" fontId="6" fillId="0" borderId="2" xfId="0" applyNumberFormat="1" applyFont="1" applyBorder="1"/>
    <xf numFmtId="2" fontId="23" fillId="0" borderId="2" xfId="0" applyNumberFormat="1" applyFont="1" applyFill="1" applyBorder="1"/>
    <xf numFmtId="2" fontId="23" fillId="0" borderId="2" xfId="0" applyNumberFormat="1" applyFont="1" applyBorder="1"/>
    <xf numFmtId="2" fontId="23" fillId="0" borderId="1" xfId="0" applyNumberFormat="1" applyFont="1" applyFill="1" applyBorder="1"/>
    <xf numFmtId="0" fontId="50" fillId="0" borderId="1" xfId="0" applyFont="1" applyFill="1" applyBorder="1" applyAlignment="1">
      <alignment horizontal="center"/>
    </xf>
    <xf numFmtId="0" fontId="50" fillId="0" borderId="1" xfId="0" applyFont="1" applyFill="1" applyBorder="1"/>
    <xf numFmtId="0" fontId="50" fillId="0" borderId="0" xfId="0" applyFont="1" applyFill="1"/>
    <xf numFmtId="0" fontId="6" fillId="0" borderId="2" xfId="0" applyFont="1" applyBorder="1"/>
    <xf numFmtId="0" fontId="23" fillId="0" borderId="11" xfId="2" applyFont="1" applyBorder="1" applyAlignment="1">
      <alignment wrapText="1"/>
    </xf>
    <xf numFmtId="2" fontId="50" fillId="0" borderId="9" xfId="2" applyNumberFormat="1" applyFont="1" applyFill="1" applyBorder="1" applyAlignment="1">
      <alignment wrapText="1"/>
    </xf>
    <xf numFmtId="2" fontId="50" fillId="0" borderId="9" xfId="2" applyNumberFormat="1" applyFont="1" applyBorder="1" applyAlignment="1">
      <alignment wrapText="1"/>
    </xf>
    <xf numFmtId="2" fontId="50" fillId="0" borderId="3" xfId="2" applyNumberFormat="1" applyFont="1" applyBorder="1" applyAlignment="1">
      <alignment wrapText="1"/>
    </xf>
    <xf numFmtId="2" fontId="50" fillId="0" borderId="11" xfId="2" applyNumberFormat="1" applyFont="1" applyBorder="1" applyAlignment="1">
      <alignment wrapText="1"/>
    </xf>
    <xf numFmtId="2" fontId="23" fillId="0" borderId="9" xfId="2" applyNumberFormat="1" applyFont="1" applyFill="1" applyBorder="1" applyAlignment="1">
      <alignment wrapText="1"/>
    </xf>
    <xf numFmtId="2" fontId="23" fillId="0" borderId="9" xfId="2" applyNumberFormat="1" applyFont="1" applyBorder="1" applyAlignment="1">
      <alignment wrapText="1"/>
    </xf>
    <xf numFmtId="1" fontId="23" fillId="0" borderId="9" xfId="2" applyNumberFormat="1" applyFont="1" applyFill="1" applyBorder="1" applyAlignment="1">
      <alignment wrapText="1"/>
    </xf>
    <xf numFmtId="0" fontId="23" fillId="0" borderId="11" xfId="2" applyFont="1" applyFill="1" applyBorder="1" applyAlignment="1">
      <alignment wrapText="1"/>
    </xf>
    <xf numFmtId="2" fontId="50" fillId="0" borderId="3" xfId="2" applyNumberFormat="1" applyFont="1" applyFill="1" applyBorder="1" applyAlignment="1">
      <alignment wrapText="1"/>
    </xf>
    <xf numFmtId="2" fontId="50" fillId="0" borderId="11" xfId="2" applyNumberFormat="1" applyFont="1" applyFill="1" applyBorder="1" applyAlignment="1">
      <alignment wrapText="1"/>
    </xf>
    <xf numFmtId="0" fontId="23" fillId="0" borderId="9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12" fillId="3" borderId="2" xfId="2" applyFont="1" applyFill="1" applyBorder="1" applyAlignment="1">
      <alignment horizontal="center" wrapText="1"/>
    </xf>
    <xf numFmtId="2" fontId="12" fillId="0" borderId="1" xfId="2" applyNumberFormat="1" applyFont="1" applyBorder="1"/>
    <xf numFmtId="165" fontId="12" fillId="0" borderId="1" xfId="2" applyNumberFormat="1" applyFont="1" applyBorder="1"/>
    <xf numFmtId="0" fontId="12" fillId="0" borderId="1" xfId="2" applyFont="1" applyFill="1" applyBorder="1"/>
    <xf numFmtId="2" fontId="12" fillId="0" borderId="1" xfId="2" applyNumberFormat="1" applyFont="1" applyFill="1" applyBorder="1"/>
    <xf numFmtId="165" fontId="12" fillId="0" borderId="1" xfId="2" applyNumberFormat="1" applyFont="1" applyFill="1" applyBorder="1"/>
    <xf numFmtId="0" fontId="12" fillId="0" borderId="2" xfId="2" applyFont="1" applyBorder="1"/>
    <xf numFmtId="2" fontId="12" fillId="0" borderId="2" xfId="2" applyNumberFormat="1" applyFont="1" applyBorder="1"/>
    <xf numFmtId="0" fontId="12" fillId="0" borderId="2" xfId="2" applyFont="1" applyFill="1" applyBorder="1" applyAlignment="1">
      <alignment horizontal="center" wrapText="1"/>
    </xf>
    <xf numFmtId="0" fontId="12" fillId="0" borderId="2" xfId="2" applyFont="1" applyBorder="1" applyAlignment="1"/>
    <xf numFmtId="2" fontId="12" fillId="0" borderId="2" xfId="2" applyNumberFormat="1" applyFont="1" applyBorder="1" applyAlignment="1"/>
    <xf numFmtId="0" fontId="12" fillId="0" borderId="2" xfId="2" applyFont="1" applyBorder="1" applyAlignment="1">
      <alignment wrapText="1"/>
    </xf>
    <xf numFmtId="0" fontId="12" fillId="0" borderId="2" xfId="2" applyFont="1" applyFill="1" applyBorder="1" applyAlignment="1">
      <alignment wrapText="1"/>
    </xf>
    <xf numFmtId="2" fontId="12" fillId="0" borderId="2" xfId="2" applyNumberFormat="1" applyFont="1" applyFill="1" applyBorder="1"/>
    <xf numFmtId="2" fontId="12" fillId="0" borderId="1" xfId="2" applyNumberFormat="1" applyFont="1" applyBorder="1" applyAlignment="1"/>
    <xf numFmtId="0" fontId="89" fillId="0" borderId="2" xfId="2" applyFont="1" applyBorder="1" applyAlignment="1">
      <alignment horizontal="center" wrapText="1"/>
    </xf>
    <xf numFmtId="0" fontId="89" fillId="0" borderId="2" xfId="2" applyFont="1" applyBorder="1" applyAlignment="1">
      <alignment wrapText="1"/>
    </xf>
    <xf numFmtId="2" fontId="89" fillId="0" borderId="2" xfId="2" applyNumberFormat="1" applyFont="1" applyBorder="1" applyAlignment="1">
      <alignment wrapText="1"/>
    </xf>
    <xf numFmtId="2" fontId="89" fillId="0" borderId="2" xfId="2" applyNumberFormat="1" applyFont="1" applyBorder="1"/>
    <xf numFmtId="0" fontId="89" fillId="0" borderId="2" xfId="2" applyFont="1" applyFill="1" applyBorder="1" applyAlignment="1">
      <alignment wrapText="1"/>
    </xf>
    <xf numFmtId="2" fontId="89" fillId="0" borderId="2" xfId="2" applyNumberFormat="1" applyFont="1" applyFill="1" applyBorder="1" applyAlignment="1">
      <alignment wrapText="1"/>
    </xf>
    <xf numFmtId="2" fontId="89" fillId="0" borderId="2" xfId="2" applyNumberFormat="1" applyFont="1" applyFill="1" applyBorder="1"/>
    <xf numFmtId="0" fontId="89" fillId="0" borderId="2" xfId="2" applyFont="1" applyFill="1" applyBorder="1" applyAlignment="1">
      <alignment horizontal="center" wrapText="1"/>
    </xf>
    <xf numFmtId="0" fontId="23" fillId="0" borderId="2" xfId="2" applyFont="1" applyBorder="1"/>
    <xf numFmtId="0" fontId="23" fillId="0" borderId="2" xfId="2" applyFont="1" applyBorder="1" applyAlignment="1">
      <alignment horizontal="center" wrapText="1"/>
    </xf>
    <xf numFmtId="0" fontId="23" fillId="0" borderId="2" xfId="2" applyFont="1" applyBorder="1" applyAlignment="1">
      <alignment wrapText="1"/>
    </xf>
    <xf numFmtId="2" fontId="23" fillId="0" borderId="11" xfId="2" applyNumberFormat="1" applyFont="1" applyBorder="1" applyAlignment="1">
      <alignment wrapText="1"/>
    </xf>
    <xf numFmtId="2" fontId="23" fillId="0" borderId="2" xfId="2" applyNumberFormat="1" applyFont="1" applyBorder="1" applyAlignment="1">
      <alignment wrapText="1"/>
    </xf>
    <xf numFmtId="2" fontId="23" fillId="0" borderId="2" xfId="2" applyNumberFormat="1" applyFont="1" applyBorder="1" applyAlignment="1">
      <alignment horizontal="right" wrapText="1"/>
    </xf>
    <xf numFmtId="0" fontId="23" fillId="0" borderId="3" xfId="2" applyFont="1" applyBorder="1" applyAlignment="1">
      <alignment horizontal="center" wrapText="1"/>
    </xf>
    <xf numFmtId="0" fontId="23" fillId="0" borderId="2" xfId="2" applyFont="1" applyFill="1" applyBorder="1" applyAlignment="1">
      <alignment wrapText="1"/>
    </xf>
    <xf numFmtId="2" fontId="23" fillId="0" borderId="11" xfId="2" applyNumberFormat="1" applyFont="1" applyFill="1" applyBorder="1" applyAlignment="1">
      <alignment wrapText="1"/>
    </xf>
    <xf numFmtId="2" fontId="23" fillId="0" borderId="2" xfId="2" applyNumberFormat="1" applyFont="1" applyFill="1" applyBorder="1" applyAlignment="1">
      <alignment wrapText="1"/>
    </xf>
    <xf numFmtId="2" fontId="23" fillId="0" borderId="2" xfId="2" applyNumberFormat="1" applyFont="1" applyFill="1" applyBorder="1" applyAlignment="1">
      <alignment horizontal="right" wrapText="1"/>
    </xf>
    <xf numFmtId="0" fontId="23" fillId="0" borderId="2" xfId="2" applyFont="1" applyFill="1" applyBorder="1" applyAlignment="1">
      <alignment horizontal="center" wrapText="1"/>
    </xf>
    <xf numFmtId="0" fontId="23" fillId="0" borderId="4" xfId="2" applyFont="1" applyFill="1" applyBorder="1" applyAlignment="1">
      <alignment wrapText="1"/>
    </xf>
    <xf numFmtId="2" fontId="23" fillId="0" borderId="21" xfId="2" applyNumberFormat="1" applyFont="1" applyFill="1" applyBorder="1" applyAlignment="1">
      <alignment wrapText="1"/>
    </xf>
    <xf numFmtId="2" fontId="23" fillId="0" borderId="4" xfId="2" applyNumberFormat="1" applyFont="1" applyFill="1" applyBorder="1" applyAlignment="1">
      <alignment wrapText="1"/>
    </xf>
    <xf numFmtId="0" fontId="23" fillId="0" borderId="5" xfId="2" applyFont="1" applyBorder="1" applyAlignment="1">
      <alignment wrapText="1"/>
    </xf>
    <xf numFmtId="0" fontId="23" fillId="0" borderId="13" xfId="2" applyFont="1" applyBorder="1" applyAlignment="1">
      <alignment wrapText="1"/>
    </xf>
    <xf numFmtId="2" fontId="23" fillId="0" borderId="13" xfId="2" applyNumberFormat="1" applyFont="1" applyBorder="1" applyAlignment="1">
      <alignment wrapText="1"/>
    </xf>
    <xf numFmtId="2" fontId="23" fillId="0" borderId="4" xfId="2" applyNumberFormat="1" applyFont="1" applyBorder="1" applyAlignment="1">
      <alignment wrapText="1"/>
    </xf>
    <xf numFmtId="2" fontId="23" fillId="0" borderId="4" xfId="2" applyNumberFormat="1" applyFont="1" applyBorder="1" applyAlignment="1">
      <alignment horizontal="right" wrapText="1"/>
    </xf>
    <xf numFmtId="2" fontId="23" fillId="0" borderId="1" xfId="2" applyNumberFormat="1" applyFont="1" applyBorder="1" applyAlignment="1">
      <alignment wrapText="1"/>
    </xf>
    <xf numFmtId="0" fontId="23" fillId="0" borderId="1" xfId="2" applyFont="1" applyBorder="1" applyAlignment="1">
      <alignment wrapText="1"/>
    </xf>
    <xf numFmtId="2" fontId="23" fillId="0" borderId="1" xfId="2" applyNumberFormat="1" applyFont="1" applyBorder="1" applyAlignment="1">
      <alignment horizontal="right" wrapText="1"/>
    </xf>
    <xf numFmtId="2" fontId="23" fillId="0" borderId="5" xfId="2" applyNumberFormat="1" applyFont="1" applyBorder="1" applyAlignment="1">
      <alignment wrapText="1"/>
    </xf>
    <xf numFmtId="2" fontId="6" fillId="0" borderId="0" xfId="0" applyNumberFormat="1" applyFont="1" applyFill="1" applyBorder="1"/>
    <xf numFmtId="0" fontId="50" fillId="0" borderId="2" xfId="2" applyFont="1" applyBorder="1" applyAlignment="1">
      <alignment horizontal="center" wrapText="1"/>
    </xf>
    <xf numFmtId="0" fontId="23" fillId="0" borderId="11" xfId="2" applyFont="1" applyBorder="1" applyAlignment="1">
      <alignment horizontal="center" wrapText="1"/>
    </xf>
    <xf numFmtId="2" fontId="6" fillId="0" borderId="3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2" fontId="23" fillId="0" borderId="3" xfId="2" applyNumberFormat="1" applyFont="1" applyBorder="1" applyAlignment="1">
      <alignment wrapText="1"/>
    </xf>
    <xf numFmtId="0" fontId="23" fillId="0" borderId="11" xfId="2" applyFont="1" applyFill="1" applyBorder="1" applyAlignment="1">
      <alignment horizontal="center" wrapText="1"/>
    </xf>
    <xf numFmtId="0" fontId="0" fillId="0" borderId="2" xfId="2" applyFont="1" applyFill="1" applyBorder="1" applyAlignment="1">
      <alignment horizontal="center" wrapText="1"/>
    </xf>
    <xf numFmtId="0" fontId="23" fillId="0" borderId="9" xfId="2" applyFont="1" applyFill="1" applyBorder="1" applyAlignment="1">
      <alignment horizontal="center" wrapText="1"/>
    </xf>
    <xf numFmtId="0" fontId="23" fillId="0" borderId="3" xfId="2" applyFont="1" applyFill="1" applyBorder="1" applyAlignment="1">
      <alignment wrapText="1"/>
    </xf>
    <xf numFmtId="2" fontId="23" fillId="0" borderId="3" xfId="2" applyNumberFormat="1" applyFont="1" applyFill="1" applyBorder="1" applyAlignment="1">
      <alignment wrapText="1"/>
    </xf>
    <xf numFmtId="0" fontId="0" fillId="0" borderId="3" xfId="2" applyFont="1" applyBorder="1" applyAlignment="1">
      <alignment horizontal="center" wrapText="1"/>
    </xf>
    <xf numFmtId="0" fontId="62" fillId="0" borderId="9" xfId="2" applyFont="1" applyBorder="1" applyAlignment="1">
      <alignment horizontal="center" wrapText="1"/>
    </xf>
    <xf numFmtId="0" fontId="23" fillId="0" borderId="3" xfId="2" applyFont="1" applyBorder="1" applyAlignment="1">
      <alignment wrapText="1"/>
    </xf>
    <xf numFmtId="0" fontId="23" fillId="0" borderId="2" xfId="0" applyFont="1" applyBorder="1"/>
    <xf numFmtId="0" fontId="23" fillId="0" borderId="1" xfId="0" applyFont="1" applyFill="1" applyBorder="1" applyAlignment="1">
      <alignment horizontal="center"/>
    </xf>
    <xf numFmtId="0" fontId="12" fillId="3" borderId="1" xfId="2" applyFont="1" applyFill="1" applyBorder="1"/>
    <xf numFmtId="2" fontId="12" fillId="3" borderId="1" xfId="2" applyNumberFormat="1" applyFont="1" applyFill="1" applyBorder="1"/>
    <xf numFmtId="165" fontId="12" fillId="3" borderId="1" xfId="2" applyNumberFormat="1" applyFont="1" applyFill="1" applyBorder="1"/>
    <xf numFmtId="0" fontId="90" fillId="0" borderId="0" xfId="0" applyFont="1"/>
    <xf numFmtId="0" fontId="90" fillId="3" borderId="0" xfId="0" applyFont="1" applyFill="1"/>
    <xf numFmtId="0" fontId="91" fillId="3" borderId="1" xfId="0" applyFont="1" applyFill="1" applyBorder="1" applyAlignment="1">
      <alignment horizontal="center" wrapText="1"/>
    </xf>
    <xf numFmtId="0" fontId="90" fillId="0" borderId="1" xfId="0" applyFont="1" applyBorder="1"/>
    <xf numFmtId="2" fontId="90" fillId="0" borderId="1" xfId="0" applyNumberFormat="1" applyFont="1" applyFill="1" applyBorder="1"/>
    <xf numFmtId="0" fontId="90" fillId="0" borderId="1" xfId="0" applyFont="1" applyFill="1" applyBorder="1"/>
    <xf numFmtId="0" fontId="93" fillId="0" borderId="0" xfId="0" applyFont="1"/>
    <xf numFmtId="0" fontId="93" fillId="3" borderId="0" xfId="0" applyFont="1" applyFill="1"/>
    <xf numFmtId="0" fontId="94" fillId="3" borderId="0" xfId="0" applyFont="1" applyFill="1"/>
    <xf numFmtId="0" fontId="62" fillId="0" borderId="2" xfId="0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wrapText="1"/>
    </xf>
    <xf numFmtId="0" fontId="1" fillId="0" borderId="11" xfId="2" applyFont="1" applyFill="1" applyBorder="1" applyAlignment="1">
      <alignment horizontal="center" wrapText="1"/>
    </xf>
    <xf numFmtId="0" fontId="1" fillId="0" borderId="2" xfId="2" applyFont="1" applyFill="1" applyBorder="1" applyAlignment="1">
      <alignment wrapText="1"/>
    </xf>
    <xf numFmtId="2" fontId="1" fillId="0" borderId="11" xfId="2" applyNumberFormat="1" applyFont="1" applyFill="1" applyBorder="1" applyAlignment="1">
      <alignment wrapText="1"/>
    </xf>
    <xf numFmtId="2" fontId="1" fillId="0" borderId="3" xfId="2" applyNumberFormat="1" applyFont="1" applyFill="1" applyBorder="1" applyAlignment="1">
      <alignment wrapText="1"/>
    </xf>
    <xf numFmtId="2" fontId="1" fillId="0" borderId="2" xfId="2" applyNumberFormat="1" applyFont="1" applyFill="1" applyBorder="1" applyAlignment="1">
      <alignment wrapText="1"/>
    </xf>
    <xf numFmtId="2" fontId="1" fillId="0" borderId="9" xfId="2" applyNumberFormat="1" applyFont="1" applyFill="1" applyBorder="1" applyAlignment="1">
      <alignment wrapText="1"/>
    </xf>
    <xf numFmtId="2" fontId="1" fillId="0" borderId="2" xfId="2" applyNumberFormat="1" applyFont="1" applyFill="1" applyBorder="1" applyAlignment="1">
      <alignment horizontal="right" wrapText="1"/>
    </xf>
    <xf numFmtId="0" fontId="33" fillId="0" borderId="1" xfId="2" applyFont="1" applyFill="1" applyBorder="1" applyAlignment="1">
      <alignment horizontal="center"/>
    </xf>
    <xf numFmtId="1" fontId="33" fillId="0" borderId="1" xfId="2" applyNumberFormat="1" applyFont="1" applyFill="1" applyBorder="1" applyAlignment="1">
      <alignment horizontal="center"/>
    </xf>
    <xf numFmtId="1" fontId="33" fillId="0" borderId="17" xfId="2" applyNumberFormat="1" applyFont="1" applyFill="1" applyBorder="1" applyAlignment="1">
      <alignment horizontal="center"/>
    </xf>
    <xf numFmtId="0" fontId="33" fillId="0" borderId="1" xfId="2" applyNumberFormat="1" applyFont="1" applyFill="1" applyBorder="1" applyAlignment="1">
      <alignment horizontal="center"/>
    </xf>
    <xf numFmtId="0" fontId="33" fillId="0" borderId="1" xfId="2" applyNumberFormat="1" applyFont="1" applyFill="1" applyBorder="1"/>
    <xf numFmtId="0" fontId="33" fillId="0" borderId="22" xfId="2" applyNumberFormat="1" applyFont="1" applyFill="1" applyBorder="1" applyAlignment="1">
      <alignment horizontal="right" wrapText="1"/>
    </xf>
    <xf numFmtId="0" fontId="33" fillId="0" borderId="1" xfId="2" applyNumberFormat="1" applyFont="1" applyFill="1" applyBorder="1" applyAlignment="1">
      <alignment horizontal="center" wrapText="1"/>
    </xf>
    <xf numFmtId="0" fontId="13" fillId="0" borderId="0" xfId="0" applyFont="1" applyFill="1" applyBorder="1"/>
    <xf numFmtId="0" fontId="23" fillId="0" borderId="1" xfId="0" applyFont="1" applyFill="1" applyBorder="1"/>
    <xf numFmtId="0" fontId="34" fillId="0" borderId="2" xfId="2" applyFont="1" applyFill="1" applyBorder="1" applyAlignment="1">
      <alignment horizontal="center" wrapText="1"/>
    </xf>
    <xf numFmtId="0" fontId="34" fillId="0" borderId="11" xfId="2" applyFont="1" applyFill="1" applyBorder="1" applyAlignment="1">
      <alignment horizontal="center" wrapText="1"/>
    </xf>
    <xf numFmtId="0" fontId="34" fillId="0" borderId="2" xfId="2" applyFont="1" applyFill="1" applyBorder="1" applyAlignment="1">
      <alignment horizontal="right" wrapText="1"/>
    </xf>
    <xf numFmtId="2" fontId="34" fillId="0" borderId="11" xfId="2" applyNumberFormat="1" applyFont="1" applyFill="1" applyBorder="1" applyAlignment="1">
      <alignment horizontal="right" wrapText="1"/>
    </xf>
    <xf numFmtId="0" fontId="34" fillId="0" borderId="11" xfId="2" applyFont="1" applyFill="1" applyBorder="1" applyAlignment="1">
      <alignment horizontal="right" wrapText="1"/>
    </xf>
    <xf numFmtId="1" fontId="34" fillId="0" borderId="3" xfId="2" applyNumberFormat="1" applyFont="1" applyFill="1" applyBorder="1" applyAlignment="1">
      <alignment horizontal="right" wrapText="1"/>
    </xf>
    <xf numFmtId="0" fontId="15" fillId="0" borderId="0" xfId="0" applyFont="1" applyFill="1"/>
    <xf numFmtId="0" fontId="34" fillId="0" borderId="1" xfId="2" applyFont="1" applyFill="1" applyBorder="1"/>
    <xf numFmtId="0" fontId="33" fillId="0" borderId="2" xfId="2" applyFont="1" applyFill="1" applyBorder="1" applyAlignment="1">
      <alignment horizontal="center" wrapText="1"/>
    </xf>
    <xf numFmtId="0" fontId="33" fillId="0" borderId="11" xfId="2" applyFont="1" applyFill="1" applyBorder="1" applyAlignment="1">
      <alignment horizontal="center" wrapText="1"/>
    </xf>
    <xf numFmtId="0" fontId="33" fillId="0" borderId="2" xfId="2" applyFont="1" applyFill="1" applyBorder="1" applyAlignment="1">
      <alignment horizontal="right" wrapText="1"/>
    </xf>
    <xf numFmtId="2" fontId="33" fillId="0" borderId="2" xfId="2" applyNumberFormat="1" applyFont="1" applyFill="1" applyBorder="1" applyAlignment="1">
      <alignment horizontal="right" wrapText="1"/>
    </xf>
    <xf numFmtId="0" fontId="1" fillId="0" borderId="0" xfId="0" applyFont="1" applyFill="1"/>
    <xf numFmtId="0" fontId="50" fillId="0" borderId="3" xfId="0" applyFont="1" applyFill="1" applyBorder="1" applyAlignment="1">
      <alignment horizontal="right" wrapText="1"/>
    </xf>
    <xf numFmtId="0" fontId="50" fillId="0" borderId="9" xfId="0" applyFont="1" applyFill="1" applyBorder="1" applyAlignment="1">
      <alignment horizontal="right" wrapText="1"/>
    </xf>
    <xf numFmtId="2" fontId="50" fillId="0" borderId="9" xfId="0" applyNumberFormat="1" applyFont="1" applyFill="1" applyBorder="1" applyAlignment="1">
      <alignment horizontal="right" wrapText="1"/>
    </xf>
    <xf numFmtId="2" fontId="50" fillId="0" borderId="7" xfId="0" applyNumberFormat="1" applyFont="1" applyFill="1" applyBorder="1" applyAlignment="1">
      <alignment horizontal="right" wrapText="1"/>
    </xf>
    <xf numFmtId="2" fontId="50" fillId="0" borderId="1" xfId="0" applyNumberFormat="1" applyFont="1" applyFill="1" applyBorder="1" applyAlignment="1">
      <alignment horizontal="right" wrapText="1"/>
    </xf>
    <xf numFmtId="2" fontId="50" fillId="0" borderId="0" xfId="0" applyNumberFormat="1" applyFont="1" applyFill="1" applyBorder="1" applyAlignment="1">
      <alignment horizontal="right" wrapText="1"/>
    </xf>
    <xf numFmtId="0" fontId="50" fillId="0" borderId="1" xfId="0" applyFont="1" applyFill="1" applyBorder="1" applyAlignment="1">
      <alignment horizontal="right" wrapText="1"/>
    </xf>
    <xf numFmtId="0" fontId="15" fillId="0" borderId="9" xfId="0" applyFont="1" applyFill="1" applyBorder="1" applyAlignment="1">
      <alignment horizontal="right" wrapText="1"/>
    </xf>
    <xf numFmtId="2" fontId="15" fillId="0" borderId="9" xfId="0" applyNumberFormat="1" applyFont="1" applyFill="1" applyBorder="1" applyAlignment="1">
      <alignment horizontal="right" wrapText="1"/>
    </xf>
    <xf numFmtId="2" fontId="15" fillId="0" borderId="23" xfId="0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0" fontId="15" fillId="0" borderId="24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2" fontId="17" fillId="0" borderId="1" xfId="0" applyNumberFormat="1" applyFont="1" applyFill="1" applyBorder="1"/>
    <xf numFmtId="0" fontId="15" fillId="0" borderId="3" xfId="0" applyFont="1" applyFill="1" applyBorder="1" applyAlignment="1">
      <alignment horizontal="right" wrapText="1"/>
    </xf>
    <xf numFmtId="2" fontId="15" fillId="0" borderId="7" xfId="0" applyNumberFormat="1" applyFont="1" applyFill="1" applyBorder="1" applyAlignment="1">
      <alignment horizontal="right" wrapText="1"/>
    </xf>
    <xf numFmtId="2" fontId="0" fillId="0" borderId="1" xfId="0" applyNumberFormat="1" applyFont="1" applyFill="1" applyBorder="1" applyAlignment="1">
      <alignment horizontal="right"/>
    </xf>
    <xf numFmtId="2" fontId="62" fillId="0" borderId="2" xfId="0" applyNumberFormat="1" applyFont="1" applyFill="1" applyBorder="1" applyAlignment="1">
      <alignment horizontal="center"/>
    </xf>
    <xf numFmtId="2" fontId="62" fillId="0" borderId="2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center"/>
    </xf>
    <xf numFmtId="1" fontId="15" fillId="0" borderId="2" xfId="0" applyNumberFormat="1" applyFont="1" applyFill="1" applyBorder="1" applyProtection="1">
      <protection locked="0"/>
    </xf>
    <xf numFmtId="2" fontId="15" fillId="0" borderId="2" xfId="0" applyNumberFormat="1" applyFont="1" applyFill="1" applyBorder="1" applyProtection="1">
      <protection locked="0"/>
    </xf>
    <xf numFmtId="0" fontId="13" fillId="0" borderId="0" xfId="0" applyFont="1" applyFill="1"/>
    <xf numFmtId="0" fontId="13" fillId="0" borderId="1" xfId="0" applyFont="1" applyFill="1" applyBorder="1"/>
    <xf numFmtId="1" fontId="62" fillId="0" borderId="2" xfId="0" applyNumberFormat="1" applyFont="1" applyFill="1" applyBorder="1" applyProtection="1">
      <protection locked="0"/>
    </xf>
    <xf numFmtId="2" fontId="62" fillId="0" borderId="2" xfId="0" applyNumberFormat="1" applyFont="1" applyFill="1" applyBorder="1" applyProtection="1">
      <protection locked="0"/>
    </xf>
    <xf numFmtId="2" fontId="62" fillId="0" borderId="2" xfId="0" applyNumberFormat="1" applyFont="1" applyFill="1" applyBorder="1"/>
    <xf numFmtId="1" fontId="62" fillId="0" borderId="2" xfId="0" applyNumberFormat="1" applyFont="1" applyFill="1" applyBorder="1"/>
    <xf numFmtId="0" fontId="68" fillId="0" borderId="1" xfId="0" applyFont="1" applyFill="1" applyBorder="1" applyAlignment="1" applyProtection="1">
      <alignment horizontal="center"/>
      <protection locked="0"/>
    </xf>
    <xf numFmtId="0" fontId="68" fillId="0" borderId="1" xfId="2" applyFont="1" applyFill="1" applyBorder="1"/>
    <xf numFmtId="1" fontId="68" fillId="0" borderId="1" xfId="0" applyNumberFormat="1" applyFont="1" applyFill="1" applyBorder="1" applyProtection="1">
      <protection locked="0"/>
    </xf>
    <xf numFmtId="2" fontId="68" fillId="0" borderId="1" xfId="0" applyNumberFormat="1" applyFont="1" applyFill="1" applyBorder="1" applyProtection="1">
      <protection locked="0"/>
    </xf>
    <xf numFmtId="1" fontId="68" fillId="0" borderId="1" xfId="0" applyNumberFormat="1" applyFont="1" applyFill="1" applyBorder="1"/>
    <xf numFmtId="2" fontId="68" fillId="0" borderId="1" xfId="0" applyNumberFormat="1" applyFont="1" applyFill="1" applyBorder="1"/>
    <xf numFmtId="0" fontId="62" fillId="0" borderId="1" xfId="0" applyFont="1" applyFill="1" applyBorder="1"/>
    <xf numFmtId="0" fontId="62" fillId="0" borderId="2" xfId="0" applyFont="1" applyFill="1" applyBorder="1"/>
    <xf numFmtId="0" fontId="62" fillId="0" borderId="0" xfId="0" applyFont="1" applyFill="1"/>
    <xf numFmtId="2" fontId="62" fillId="0" borderId="1" xfId="0" applyNumberFormat="1" applyFont="1" applyFill="1" applyBorder="1"/>
    <xf numFmtId="2" fontId="73" fillId="0" borderId="1" xfId="0" applyNumberFormat="1" applyFont="1" applyFill="1" applyBorder="1"/>
    <xf numFmtId="0" fontId="95" fillId="0" borderId="1" xfId="0" applyFont="1" applyBorder="1" applyAlignment="1">
      <alignment horizontal="right" wrapText="1"/>
    </xf>
    <xf numFmtId="2" fontId="95" fillId="0" borderId="1" xfId="0" applyNumberFormat="1" applyFont="1" applyBorder="1" applyAlignment="1">
      <alignment horizontal="right" wrapText="1"/>
    </xf>
    <xf numFmtId="2" fontId="95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 wrapText="1"/>
    </xf>
    <xf numFmtId="0" fontId="50" fillId="0" borderId="2" xfId="0" applyFont="1" applyBorder="1" applyAlignment="1">
      <alignment horizontal="center"/>
    </xf>
    <xf numFmtId="2" fontId="50" fillId="0" borderId="2" xfId="0" applyNumberFormat="1" applyFont="1" applyBorder="1"/>
    <xf numFmtId="2" fontId="50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2" fontId="23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right"/>
    </xf>
    <xf numFmtId="0" fontId="95" fillId="0" borderId="2" xfId="0" applyFont="1" applyBorder="1" applyAlignment="1">
      <alignment horizontal="center"/>
    </xf>
    <xf numFmtId="1" fontId="95" fillId="0" borderId="2" xfId="0" applyNumberFormat="1" applyFont="1" applyBorder="1" applyProtection="1">
      <protection locked="0"/>
    </xf>
    <xf numFmtId="2" fontId="95" fillId="0" borderId="2" xfId="0" applyNumberFormat="1" applyFont="1" applyBorder="1" applyProtection="1">
      <protection locked="0"/>
    </xf>
    <xf numFmtId="1" fontId="6" fillId="0" borderId="2" xfId="0" applyNumberFormat="1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1" fontId="6" fillId="0" borderId="10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  <xf numFmtId="0" fontId="0" fillId="0" borderId="2" xfId="0" applyFont="1" applyFill="1" applyBorder="1" applyAlignment="1">
      <alignment horizontal="center"/>
    </xf>
    <xf numFmtId="1" fontId="0" fillId="0" borderId="2" xfId="0" applyNumberFormat="1" applyFont="1" applyFill="1" applyBorder="1" applyProtection="1">
      <protection locked="0"/>
    </xf>
    <xf numFmtId="2" fontId="0" fillId="0" borderId="2" xfId="0" applyNumberFormat="1" applyFont="1" applyFill="1" applyBorder="1" applyProtection="1">
      <protection locked="0"/>
    </xf>
    <xf numFmtId="0" fontId="95" fillId="0" borderId="2" xfId="0" applyFont="1" applyBorder="1"/>
    <xf numFmtId="2" fontId="95" fillId="0" borderId="2" xfId="0" applyNumberFormat="1" applyFont="1" applyBorder="1"/>
    <xf numFmtId="0" fontId="95" fillId="0" borderId="0" xfId="0" applyFont="1"/>
    <xf numFmtId="1" fontId="6" fillId="0" borderId="2" xfId="0" applyNumberFormat="1" applyFont="1" applyBorder="1"/>
    <xf numFmtId="0" fontId="91" fillId="0" borderId="1" xfId="0" applyFont="1" applyBorder="1" applyAlignment="1">
      <alignment wrapText="1"/>
    </xf>
    <xf numFmtId="0" fontId="50" fillId="0" borderId="1" xfId="4" applyFont="1" applyFill="1" applyBorder="1"/>
    <xf numFmtId="0" fontId="34" fillId="0" borderId="1" xfId="2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 wrapText="1"/>
    </xf>
    <xf numFmtId="2" fontId="15" fillId="0" borderId="1" xfId="0" applyNumberFormat="1" applyFont="1" applyFill="1" applyBorder="1" applyAlignment="1">
      <alignment horizontal="right"/>
    </xf>
    <xf numFmtId="2" fontId="23" fillId="0" borderId="2" xfId="0" applyNumberFormat="1" applyFont="1" applyFill="1" applyBorder="1" applyAlignment="1">
      <alignment horizontal="center"/>
    </xf>
    <xf numFmtId="2" fontId="23" fillId="0" borderId="2" xfId="0" applyNumberFormat="1" applyFont="1" applyFill="1" applyBorder="1" applyAlignment="1">
      <alignment horizontal="right"/>
    </xf>
    <xf numFmtId="0" fontId="67" fillId="0" borderId="1" xfId="0" applyFont="1" applyFill="1" applyBorder="1" applyAlignment="1" applyProtection="1">
      <alignment horizontal="center"/>
      <protection locked="0"/>
    </xf>
    <xf numFmtId="0" fontId="67" fillId="0" borderId="1" xfId="2" applyFont="1" applyFill="1" applyBorder="1"/>
    <xf numFmtId="1" fontId="67" fillId="0" borderId="1" xfId="0" applyNumberFormat="1" applyFont="1" applyFill="1" applyBorder="1" applyProtection="1">
      <protection locked="0"/>
    </xf>
    <xf numFmtId="2" fontId="67" fillId="0" borderId="1" xfId="0" applyNumberFormat="1" applyFont="1" applyFill="1" applyBorder="1" applyProtection="1">
      <protection locked="0"/>
    </xf>
    <xf numFmtId="1" fontId="67" fillId="0" borderId="1" xfId="0" applyNumberFormat="1" applyFont="1" applyFill="1" applyBorder="1"/>
    <xf numFmtId="2" fontId="67" fillId="0" borderId="1" xfId="0" applyNumberFormat="1" applyFont="1" applyFill="1" applyBorder="1"/>
    <xf numFmtId="0" fontId="92" fillId="3" borderId="1" xfId="0" applyFont="1" applyFill="1" applyBorder="1"/>
    <xf numFmtId="2" fontId="73" fillId="0" borderId="1" xfId="0" applyNumberFormat="1" applyFont="1" applyBorder="1"/>
    <xf numFmtId="2" fontId="73" fillId="3" borderId="1" xfId="0" applyNumberFormat="1" applyFont="1" applyFill="1" applyBorder="1"/>
    <xf numFmtId="0" fontId="93" fillId="0" borderId="0" xfId="0" applyFont="1" applyBorder="1"/>
    <xf numFmtId="0" fontId="93" fillId="3" borderId="0" xfId="0" applyFont="1" applyFill="1" applyBorder="1"/>
    <xf numFmtId="2" fontId="93" fillId="3" borderId="0" xfId="0" applyNumberFormat="1" applyFont="1" applyFill="1" applyBorder="1"/>
    <xf numFmtId="0" fontId="90" fillId="0" borderId="20" xfId="0" applyFont="1" applyBorder="1" applyAlignment="1"/>
    <xf numFmtId="2" fontId="90" fillId="3" borderId="0" xfId="0" applyNumberFormat="1" applyFont="1" applyFill="1" applyBorder="1"/>
    <xf numFmtId="0" fontId="98" fillId="0" borderId="0" xfId="0" applyFont="1" applyBorder="1"/>
    <xf numFmtId="0" fontId="98" fillId="3" borderId="0" xfId="0" applyFont="1" applyFill="1" applyBorder="1"/>
    <xf numFmtId="2" fontId="98" fillId="3" borderId="0" xfId="0" applyNumberFormat="1" applyFont="1" applyFill="1" applyBorder="1"/>
    <xf numFmtId="0" fontId="90" fillId="3" borderId="1" xfId="0" applyFont="1" applyFill="1" applyBorder="1"/>
    <xf numFmtId="0" fontId="92" fillId="0" borderId="1" xfId="0" applyFont="1" applyBorder="1"/>
    <xf numFmtId="2" fontId="91" fillId="3" borderId="0" xfId="0" applyNumberFormat="1" applyFont="1" applyFill="1" applyBorder="1"/>
    <xf numFmtId="0" fontId="90" fillId="0" borderId="0" xfId="0" applyFont="1" applyBorder="1"/>
    <xf numFmtId="2" fontId="0" fillId="0" borderId="0" xfId="0" applyNumberFormat="1" applyBorder="1"/>
    <xf numFmtId="0" fontId="99" fillId="3" borderId="0" xfId="0" applyFont="1" applyFill="1"/>
    <xf numFmtId="2" fontId="90" fillId="3" borderId="20" xfId="0" applyNumberFormat="1" applyFont="1" applyFill="1" applyBorder="1" applyAlignment="1"/>
    <xf numFmtId="0" fontId="100" fillId="3" borderId="0" xfId="0" applyFont="1" applyFill="1"/>
    <xf numFmtId="0" fontId="90" fillId="3" borderId="0" xfId="0" applyFont="1" applyFill="1" applyBorder="1"/>
    <xf numFmtId="2" fontId="90" fillId="0" borderId="0" xfId="0" applyNumberFormat="1" applyFont="1" applyFill="1" applyBorder="1"/>
    <xf numFmtId="0" fontId="90" fillId="0" borderId="0" xfId="0" applyFont="1" applyFill="1"/>
    <xf numFmtId="0" fontId="92" fillId="0" borderId="1" xfId="0" applyFont="1" applyFill="1" applyBorder="1"/>
    <xf numFmtId="2" fontId="97" fillId="0" borderId="1" xfId="0" applyNumberFormat="1" applyFont="1" applyFill="1" applyBorder="1"/>
    <xf numFmtId="2" fontId="97" fillId="3" borderId="1" xfId="0" applyNumberFormat="1" applyFont="1" applyFill="1" applyBorder="1"/>
    <xf numFmtId="0" fontId="101" fillId="3" borderId="0" xfId="0" applyFont="1" applyFill="1"/>
    <xf numFmtId="0" fontId="90" fillId="0" borderId="1" xfId="0" applyFont="1" applyBorder="1" applyAlignment="1"/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1" fontId="92" fillId="0" borderId="1" xfId="0" applyNumberFormat="1" applyFont="1" applyBorder="1"/>
    <xf numFmtId="2" fontId="1" fillId="3" borderId="1" xfId="0" applyNumberFormat="1" applyFont="1" applyFill="1" applyBorder="1"/>
    <xf numFmtId="0" fontId="102" fillId="3" borderId="0" xfId="0" applyFont="1" applyFill="1"/>
    <xf numFmtId="0" fontId="102" fillId="0" borderId="0" xfId="0" applyFont="1"/>
    <xf numFmtId="0" fontId="91" fillId="3" borderId="0" xfId="0" applyFont="1" applyFill="1"/>
    <xf numFmtId="0" fontId="91" fillId="0" borderId="0" xfId="0" applyFont="1"/>
    <xf numFmtId="0" fontId="91" fillId="3" borderId="0" xfId="0" applyFont="1" applyFill="1" applyProtection="1">
      <protection locked="0"/>
    </xf>
    <xf numFmtId="0" fontId="91" fillId="0" borderId="0" xfId="0" applyFont="1" applyProtection="1">
      <protection locked="0"/>
    </xf>
    <xf numFmtId="0" fontId="91" fillId="0" borderId="1" xfId="0" applyFont="1" applyFill="1" applyBorder="1" applyAlignment="1">
      <alignment horizontal="center" wrapText="1"/>
    </xf>
    <xf numFmtId="0" fontId="91" fillId="0" borderId="1" xfId="0" applyFont="1" applyBorder="1" applyAlignment="1">
      <alignment horizontal="center" wrapText="1"/>
    </xf>
    <xf numFmtId="2" fontId="90" fillId="3" borderId="1" xfId="0" applyNumberFormat="1" applyFont="1" applyFill="1" applyBorder="1"/>
    <xf numFmtId="2" fontId="90" fillId="0" borderId="1" xfId="0" applyNumberFormat="1" applyFont="1" applyBorder="1"/>
    <xf numFmtId="0" fontId="93" fillId="0" borderId="0" xfId="0" applyFont="1" applyFill="1" applyBorder="1"/>
    <xf numFmtId="0" fontId="90" fillId="3" borderId="18" xfId="0" applyFont="1" applyFill="1" applyBorder="1" applyAlignment="1"/>
    <xf numFmtId="2" fontId="93" fillId="0" borderId="0" xfId="0" applyNumberFormat="1" applyFont="1" applyBorder="1"/>
    <xf numFmtId="0" fontId="90" fillId="3" borderId="20" xfId="0" applyFont="1" applyFill="1" applyBorder="1" applyAlignment="1"/>
    <xf numFmtId="0" fontId="93" fillId="0" borderId="0" xfId="0" applyFont="1" applyFill="1"/>
    <xf numFmtId="0" fontId="91" fillId="0" borderId="0" xfId="0" applyFont="1" applyBorder="1"/>
    <xf numFmtId="2" fontId="90" fillId="3" borderId="0" xfId="0" applyNumberFormat="1" applyFont="1" applyFill="1" applyBorder="1" applyAlignment="1">
      <alignment horizontal="center"/>
    </xf>
    <xf numFmtId="2" fontId="90" fillId="0" borderId="0" xfId="0" applyNumberFormat="1" applyFont="1" applyBorder="1" applyAlignment="1">
      <alignment horizontal="center"/>
    </xf>
    <xf numFmtId="2" fontId="90" fillId="0" borderId="0" xfId="0" applyNumberFormat="1" applyFont="1" applyBorder="1"/>
    <xf numFmtId="0" fontId="90" fillId="0" borderId="0" xfId="0" applyFont="1" applyFill="1" applyBorder="1"/>
    <xf numFmtId="0" fontId="98" fillId="0" borderId="0" xfId="0" applyFont="1" applyFill="1" applyBorder="1"/>
    <xf numFmtId="2" fontId="98" fillId="0" borderId="0" xfId="0" applyNumberFormat="1" applyFont="1" applyBorder="1"/>
    <xf numFmtId="2" fontId="91" fillId="0" borderId="0" xfId="0" applyNumberFormat="1" applyFont="1" applyBorder="1"/>
    <xf numFmtId="0" fontId="91" fillId="0" borderId="1" xfId="0" applyFont="1" applyBorder="1" applyAlignment="1"/>
    <xf numFmtId="0" fontId="100" fillId="0" borderId="0" xfId="0" applyFont="1"/>
    <xf numFmtId="2" fontId="91" fillId="3" borderId="7" xfId="0" applyNumberFormat="1" applyFont="1" applyFill="1" applyBorder="1" applyAlignment="1" applyProtection="1">
      <protection locked="0"/>
    </xf>
    <xf numFmtId="0" fontId="91" fillId="0" borderId="2" xfId="0" applyFont="1" applyFill="1" applyBorder="1" applyAlignment="1">
      <alignment horizontal="center" wrapText="1"/>
    </xf>
    <xf numFmtId="0" fontId="91" fillId="3" borderId="2" xfId="0" applyFont="1" applyFill="1" applyBorder="1" applyAlignment="1">
      <alignment horizontal="center" wrapText="1"/>
    </xf>
    <xf numFmtId="0" fontId="91" fillId="0" borderId="2" xfId="0" applyFont="1" applyBorder="1" applyAlignment="1">
      <alignment horizontal="center" wrapText="1"/>
    </xf>
    <xf numFmtId="2" fontId="90" fillId="3" borderId="2" xfId="0" applyNumberFormat="1" applyFont="1" applyFill="1" applyBorder="1"/>
    <xf numFmtId="0" fontId="90" fillId="0" borderId="2" xfId="0" applyFont="1" applyBorder="1"/>
    <xf numFmtId="2" fontId="90" fillId="0" borderId="2" xfId="0" applyNumberFormat="1" applyFont="1" applyFill="1" applyBorder="1"/>
    <xf numFmtId="2" fontId="90" fillId="0" borderId="2" xfId="0" applyNumberFormat="1" applyFont="1" applyBorder="1"/>
    <xf numFmtId="0" fontId="91" fillId="3" borderId="20" xfId="0" applyFont="1" applyFill="1" applyBorder="1" applyAlignment="1"/>
    <xf numFmtId="0" fontId="91" fillId="12" borderId="20" xfId="0" applyFont="1" applyFill="1" applyBorder="1" applyAlignment="1"/>
    <xf numFmtId="0" fontId="91" fillId="3" borderId="1" xfId="5" applyFont="1" applyFill="1" applyBorder="1"/>
    <xf numFmtId="2" fontId="91" fillId="3" borderId="1" xfId="5" applyNumberFormat="1" applyFont="1" applyFill="1" applyBorder="1"/>
    <xf numFmtId="0" fontId="96" fillId="3" borderId="14" xfId="0" applyFont="1" applyFill="1" applyBorder="1" applyAlignment="1"/>
    <xf numFmtId="1" fontId="96" fillId="3" borderId="1" xfId="0" applyNumberFormat="1" applyFont="1" applyFill="1" applyBorder="1"/>
    <xf numFmtId="2" fontId="96" fillId="3" borderId="1" xfId="0" applyNumberFormat="1" applyFont="1" applyFill="1" applyBorder="1"/>
    <xf numFmtId="0" fontId="27" fillId="0" borderId="0" xfId="0" applyFont="1" applyAlignment="1">
      <alignment horizontal="center"/>
    </xf>
    <xf numFmtId="0" fontId="91" fillId="0" borderId="0" xfId="0" applyFont="1" applyFill="1" applyBorder="1"/>
    <xf numFmtId="0" fontId="99" fillId="0" borderId="0" xfId="0" applyFont="1"/>
    <xf numFmtId="0" fontId="101" fillId="0" borderId="0" xfId="0" applyFont="1"/>
    <xf numFmtId="2" fontId="90" fillId="0" borderId="1" xfId="0" applyNumberFormat="1" applyFont="1" applyFill="1" applyBorder="1" applyAlignment="1"/>
    <xf numFmtId="2" fontId="90" fillId="3" borderId="1" xfId="0" applyNumberFormat="1" applyFont="1" applyFill="1" applyBorder="1" applyAlignment="1"/>
    <xf numFmtId="1" fontId="90" fillId="0" borderId="1" xfId="0" applyNumberFormat="1" applyFont="1" applyBorder="1"/>
    <xf numFmtId="0" fontId="103" fillId="0" borderId="0" xfId="0" applyFont="1"/>
    <xf numFmtId="0" fontId="103" fillId="3" borderId="0" xfId="0" applyFont="1" applyFill="1"/>
    <xf numFmtId="0" fontId="104" fillId="0" borderId="1" xfId="0" applyFont="1" applyFill="1" applyBorder="1" applyAlignment="1">
      <alignment horizontal="center" wrapText="1"/>
    </xf>
    <xf numFmtId="0" fontId="104" fillId="3" borderId="1" xfId="0" applyFont="1" applyFill="1" applyBorder="1" applyAlignment="1">
      <alignment horizontal="center" wrapText="1"/>
    </xf>
    <xf numFmtId="0" fontId="104" fillId="0" borderId="1" xfId="0" applyFont="1" applyBorder="1" applyAlignment="1">
      <alignment horizontal="center" wrapText="1"/>
    </xf>
    <xf numFmtId="2" fontId="73" fillId="0" borderId="0" xfId="0" applyNumberFormat="1" applyFont="1" applyBorder="1"/>
    <xf numFmtId="2" fontId="1" fillId="0" borderId="0" xfId="2" applyNumberFormat="1" applyFont="1" applyFill="1" applyBorder="1" applyAlignment="1">
      <alignment horizontal="right"/>
    </xf>
    <xf numFmtId="0" fontId="105" fillId="0" borderId="0" xfId="0" applyFont="1" applyFill="1"/>
    <xf numFmtId="2" fontId="23" fillId="0" borderId="1" xfId="0" applyNumberFormat="1" applyFont="1" applyBorder="1"/>
    <xf numFmtId="0" fontId="62" fillId="0" borderId="1" xfId="0" applyFont="1" applyFill="1" applyBorder="1" applyAlignment="1">
      <alignment horizontal="center"/>
    </xf>
    <xf numFmtId="0" fontId="50" fillId="0" borderId="2" xfId="0" applyFont="1" applyFill="1" applyBorder="1"/>
    <xf numFmtId="2" fontId="50" fillId="0" borderId="2" xfId="0" applyNumberFormat="1" applyFont="1" applyFill="1" applyBorder="1"/>
    <xf numFmtId="0" fontId="62" fillId="0" borderId="1" xfId="6" applyFont="1" applyFill="1" applyBorder="1" applyAlignment="1">
      <alignment horizontal="center"/>
    </xf>
    <xf numFmtId="0" fontId="62" fillId="0" borderId="1" xfId="6" applyFont="1" applyFill="1" applyBorder="1"/>
    <xf numFmtId="2" fontId="62" fillId="0" borderId="1" xfId="6" applyNumberFormat="1" applyFont="1" applyFill="1" applyBorder="1"/>
    <xf numFmtId="0" fontId="23" fillId="0" borderId="1" xfId="6" applyFont="1" applyFill="1" applyBorder="1" applyAlignment="1">
      <alignment horizontal="center"/>
    </xf>
    <xf numFmtId="0" fontId="23" fillId="0" borderId="1" xfId="6" applyFont="1" applyFill="1" applyBorder="1"/>
    <xf numFmtId="2" fontId="23" fillId="0" borderId="1" xfId="6" applyNumberFormat="1" applyFont="1" applyFill="1" applyBorder="1"/>
    <xf numFmtId="0" fontId="23" fillId="0" borderId="2" xfId="0" applyFont="1" applyFill="1" applyBorder="1"/>
    <xf numFmtId="2" fontId="23" fillId="3" borderId="2" xfId="0" applyNumberFormat="1" applyFont="1" applyFill="1" applyBorder="1"/>
    <xf numFmtId="0" fontId="48" fillId="0" borderId="2" xfId="2" applyFont="1" applyFill="1" applyBorder="1" applyAlignment="1">
      <alignment wrapText="1"/>
    </xf>
    <xf numFmtId="1" fontId="49" fillId="0" borderId="2" xfId="2" applyNumberFormat="1" applyFont="1" applyFill="1" applyBorder="1" applyAlignment="1">
      <alignment wrapText="1"/>
    </xf>
    <xf numFmtId="2" fontId="33" fillId="0" borderId="1" xfId="2" applyNumberFormat="1" applyFont="1" applyFill="1" applyBorder="1" applyAlignment="1">
      <alignment horizontal="right" wrapText="1"/>
    </xf>
    <xf numFmtId="2" fontId="35" fillId="0" borderId="1" xfId="2" applyNumberFormat="1" applyFont="1" applyFill="1" applyBorder="1" applyAlignment="1">
      <alignment horizontal="right"/>
    </xf>
    <xf numFmtId="2" fontId="33" fillId="0" borderId="1" xfId="2" applyNumberFormat="1" applyFont="1" applyFill="1" applyBorder="1" applyAlignment="1">
      <alignment wrapText="1"/>
    </xf>
    <xf numFmtId="0" fontId="15" fillId="0" borderId="1" xfId="2" applyFont="1" applyFill="1" applyBorder="1" applyAlignment="1">
      <alignment horizontal="center" wrapText="1"/>
    </xf>
    <xf numFmtId="2" fontId="35" fillId="0" borderId="13" xfId="2" applyNumberFormat="1" applyFont="1" applyFill="1" applyBorder="1" applyAlignment="1">
      <alignment horizontal="right" wrapText="1"/>
    </xf>
    <xf numFmtId="2" fontId="35" fillId="0" borderId="13" xfId="2" applyNumberFormat="1" applyFont="1" applyFill="1" applyBorder="1"/>
    <xf numFmtId="2" fontId="36" fillId="0" borderId="13" xfId="2" applyNumberFormat="1" applyFont="1" applyFill="1" applyBorder="1" applyAlignment="1">
      <alignment horizontal="right" wrapText="1"/>
    </xf>
    <xf numFmtId="2" fontId="36" fillId="0" borderId="1" xfId="2" applyNumberFormat="1" applyFont="1" applyFill="1" applyBorder="1"/>
    <xf numFmtId="0" fontId="96" fillId="0" borderId="0" xfId="0" applyFont="1"/>
    <xf numFmtId="2" fontId="96" fillId="0" borderId="0" xfId="0" applyNumberFormat="1" applyFont="1"/>
    <xf numFmtId="2" fontId="36" fillId="0" borderId="1" xfId="2" applyNumberFormat="1" applyFont="1" applyBorder="1" applyAlignment="1">
      <alignment horizontal="right"/>
    </xf>
    <xf numFmtId="2" fontId="55" fillId="0" borderId="1" xfId="0" applyNumberFormat="1" applyFont="1" applyFill="1" applyBorder="1"/>
    <xf numFmtId="2" fontId="33" fillId="0" borderId="11" xfId="2" applyNumberFormat="1" applyFont="1" applyFill="1" applyBorder="1" applyAlignment="1">
      <alignment horizontal="right" wrapText="1"/>
    </xf>
    <xf numFmtId="0" fontId="33" fillId="0" borderId="11" xfId="2" applyFont="1" applyFill="1" applyBorder="1" applyAlignment="1">
      <alignment horizontal="right" wrapText="1"/>
    </xf>
    <xf numFmtId="1" fontId="33" fillId="0" borderId="3" xfId="2" applyNumberFormat="1" applyFont="1" applyFill="1" applyBorder="1" applyAlignment="1">
      <alignment horizontal="right" wrapText="1"/>
    </xf>
    <xf numFmtId="0" fontId="37" fillId="0" borderId="1" xfId="2" applyFont="1" applyFill="1" applyBorder="1"/>
    <xf numFmtId="2" fontId="37" fillId="0" borderId="1" xfId="2" applyNumberFormat="1" applyFont="1" applyFill="1" applyBorder="1"/>
    <xf numFmtId="0" fontId="1" fillId="0" borderId="9" xfId="0" applyFont="1" applyFill="1" applyBorder="1" applyAlignment="1">
      <alignment horizontal="right" wrapText="1"/>
    </xf>
    <xf numFmtId="2" fontId="1" fillId="0" borderId="9" xfId="0" applyNumberFormat="1" applyFont="1" applyFill="1" applyBorder="1" applyAlignment="1">
      <alignment horizontal="right" wrapText="1"/>
    </xf>
    <xf numFmtId="2" fontId="1" fillId="0" borderId="23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 wrapText="1"/>
    </xf>
    <xf numFmtId="0" fontId="1" fillId="0" borderId="24" xfId="0" applyFont="1" applyFill="1" applyBorder="1" applyAlignment="1">
      <alignment horizontal="right" wrapText="1"/>
    </xf>
    <xf numFmtId="1" fontId="23" fillId="0" borderId="2" xfId="0" applyNumberFormat="1" applyFont="1" applyFill="1" applyBorder="1" applyProtection="1">
      <protection locked="0"/>
    </xf>
    <xf numFmtId="2" fontId="23" fillId="0" borderId="2" xfId="0" applyNumberFormat="1" applyFont="1" applyFill="1" applyBorder="1" applyProtection="1">
      <protection locked="0"/>
    </xf>
    <xf numFmtId="1" fontId="23" fillId="0" borderId="2" xfId="0" applyNumberFormat="1" applyFont="1" applyFill="1" applyBorder="1"/>
    <xf numFmtId="0" fontId="23" fillId="0" borderId="0" xfId="0" applyFont="1" applyFill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 wrapText="1"/>
    </xf>
    <xf numFmtId="0" fontId="1" fillId="0" borderId="3" xfId="2" applyFont="1" applyFill="1" applyBorder="1" applyAlignment="1">
      <alignment horizontal="center" wrapText="1"/>
    </xf>
    <xf numFmtId="0" fontId="1" fillId="0" borderId="3" xfId="2" applyFont="1" applyFill="1" applyBorder="1" applyAlignment="1">
      <alignment wrapText="1"/>
    </xf>
    <xf numFmtId="2" fontId="3" fillId="0" borderId="9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wrapText="1"/>
    </xf>
    <xf numFmtId="0" fontId="33" fillId="0" borderId="9" xfId="2" applyNumberFormat="1" applyFont="1" applyFill="1" applyBorder="1" applyAlignment="1">
      <alignment horizontal="right" wrapText="1"/>
    </xf>
    <xf numFmtId="2" fontId="23" fillId="0" borderId="1" xfId="0" applyNumberFormat="1" applyFont="1" applyFill="1" applyBorder="1" applyAlignment="1">
      <alignment horizontal="right"/>
    </xf>
    <xf numFmtId="0" fontId="34" fillId="0" borderId="3" xfId="2" applyFont="1" applyFill="1" applyBorder="1" applyAlignment="1">
      <alignment horizontal="center" wrapText="1"/>
    </xf>
    <xf numFmtId="0" fontId="34" fillId="0" borderId="9" xfId="2" applyFont="1" applyFill="1" applyBorder="1" applyAlignment="1">
      <alignment horizontal="center" wrapText="1"/>
    </xf>
    <xf numFmtId="0" fontId="34" fillId="0" borderId="3" xfId="2" applyFont="1" applyFill="1" applyBorder="1" applyAlignment="1">
      <alignment horizontal="right" wrapText="1"/>
    </xf>
    <xf numFmtId="2" fontId="34" fillId="0" borderId="9" xfId="2" applyNumberFormat="1" applyFont="1" applyFill="1" applyBorder="1" applyAlignment="1">
      <alignment horizontal="right" wrapText="1"/>
    </xf>
    <xf numFmtId="1" fontId="34" fillId="0" borderId="9" xfId="2" applyNumberFormat="1" applyFont="1" applyFill="1" applyBorder="1" applyAlignment="1">
      <alignment horizontal="right" wrapText="1"/>
    </xf>
    <xf numFmtId="0" fontId="34" fillId="0" borderId="9" xfId="2" applyFont="1" applyFill="1" applyBorder="1" applyAlignment="1">
      <alignment horizontal="right" wrapText="1"/>
    </xf>
    <xf numFmtId="0" fontId="33" fillId="0" borderId="3" xfId="2" applyFont="1" applyFill="1" applyBorder="1" applyAlignment="1">
      <alignment horizontal="center" wrapText="1"/>
    </xf>
    <xf numFmtId="0" fontId="33" fillId="0" borderId="9" xfId="2" applyFont="1" applyFill="1" applyBorder="1" applyAlignment="1">
      <alignment horizontal="center" wrapText="1"/>
    </xf>
    <xf numFmtId="0" fontId="33" fillId="0" borderId="3" xfId="2" applyFont="1" applyFill="1" applyBorder="1" applyAlignment="1">
      <alignment horizontal="right" wrapText="1"/>
    </xf>
    <xf numFmtId="2" fontId="33" fillId="0" borderId="9" xfId="2" applyNumberFormat="1" applyFont="1" applyFill="1" applyBorder="1" applyAlignment="1">
      <alignment horizontal="right" wrapText="1"/>
    </xf>
    <xf numFmtId="0" fontId="33" fillId="0" borderId="9" xfId="2" applyFont="1" applyFill="1" applyBorder="1" applyAlignment="1">
      <alignment horizontal="right" wrapText="1"/>
    </xf>
    <xf numFmtId="2" fontId="15" fillId="0" borderId="19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right" wrapText="1"/>
    </xf>
    <xf numFmtId="0" fontId="0" fillId="0" borderId="19" xfId="0" applyFont="1" applyFill="1" applyBorder="1" applyAlignment="1">
      <alignment horizontal="right" wrapText="1"/>
    </xf>
    <xf numFmtId="0" fontId="15" fillId="0" borderId="19" xfId="0" applyFont="1" applyFill="1" applyBorder="1" applyAlignment="1">
      <alignment horizontal="right" wrapText="1"/>
    </xf>
    <xf numFmtId="2" fontId="15" fillId="0" borderId="1" xfId="0" applyNumberFormat="1" applyFont="1" applyFill="1" applyBorder="1" applyAlignment="1">
      <alignment horizontal="right" wrapText="1"/>
    </xf>
    <xf numFmtId="2" fontId="15" fillId="0" borderId="25" xfId="0" applyNumberFormat="1" applyFont="1" applyFill="1" applyBorder="1" applyAlignment="1">
      <alignment horizontal="right" wrapText="1"/>
    </xf>
    <xf numFmtId="0" fontId="15" fillId="0" borderId="26" xfId="0" applyFont="1" applyFill="1" applyBorder="1" applyAlignment="1">
      <alignment horizontal="right" wrapText="1"/>
    </xf>
    <xf numFmtId="0" fontId="0" fillId="0" borderId="0" xfId="0" applyFont="1" applyFill="1"/>
    <xf numFmtId="0" fontId="67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33" fillId="0" borderId="13" xfId="2" applyFont="1" applyFill="1" applyBorder="1"/>
    <xf numFmtId="0" fontId="35" fillId="0" borderId="1" xfId="2" applyFont="1" applyFill="1" applyBorder="1" applyAlignment="1">
      <alignment horizontal="center"/>
    </xf>
    <xf numFmtId="0" fontId="36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33" fillId="0" borderId="14" xfId="2" applyFont="1" applyFill="1" applyBorder="1" applyAlignment="1">
      <alignment horizontal="center"/>
    </xf>
    <xf numFmtId="0" fontId="33" fillId="0" borderId="16" xfId="2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62" fillId="0" borderId="0" xfId="0" applyFont="1" applyFill="1" applyBorder="1"/>
    <xf numFmtId="2" fontId="62" fillId="0" borderId="0" xfId="0" applyNumberFormat="1" applyFont="1" applyFill="1" applyBorder="1"/>
    <xf numFmtId="0" fontId="3" fillId="0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33" fillId="0" borderId="17" xfId="2" applyFont="1" applyFill="1" applyBorder="1" applyAlignment="1">
      <alignment horizontal="center"/>
    </xf>
    <xf numFmtId="0" fontId="33" fillId="0" borderId="17" xfId="2" applyFont="1" applyFill="1" applyBorder="1"/>
    <xf numFmtId="0" fontId="33" fillId="0" borderId="17" xfId="2" applyNumberFormat="1" applyFont="1" applyFill="1" applyBorder="1" applyAlignment="1">
      <alignment horizontal="center"/>
    </xf>
    <xf numFmtId="0" fontId="33" fillId="0" borderId="17" xfId="2" applyNumberFormat="1" applyFont="1" applyFill="1" applyBorder="1"/>
    <xf numFmtId="0" fontId="35" fillId="0" borderId="1" xfId="2" applyFont="1" applyFill="1" applyBorder="1"/>
    <xf numFmtId="1" fontId="34" fillId="0" borderId="11" xfId="2" applyNumberFormat="1" applyFont="1" applyFill="1" applyBorder="1" applyAlignment="1">
      <alignment horizontal="right" wrapText="1"/>
    </xf>
    <xf numFmtId="2" fontId="57" fillId="0" borderId="9" xfId="0" applyNumberFormat="1" applyFont="1" applyFill="1" applyBorder="1" applyAlignment="1">
      <alignment horizontal="right" wrapText="1"/>
    </xf>
    <xf numFmtId="2" fontId="34" fillId="0" borderId="0" xfId="2" applyNumberFormat="1" applyFont="1" applyBorder="1" applyAlignment="1">
      <alignment horizontal="right" wrapText="1"/>
    </xf>
    <xf numFmtId="2" fontId="33" fillId="0" borderId="3" xfId="2" applyNumberFormat="1" applyFont="1" applyFill="1" applyBorder="1" applyAlignment="1">
      <alignment horizontal="right" wrapText="1"/>
    </xf>
    <xf numFmtId="2" fontId="96" fillId="0" borderId="0" xfId="0" applyNumberFormat="1" applyFont="1" applyFill="1"/>
    <xf numFmtId="0" fontId="33" fillId="0" borderId="5" xfId="2" applyFont="1" applyFill="1" applyBorder="1" applyAlignment="1">
      <alignment horizontal="center" wrapText="1"/>
    </xf>
    <xf numFmtId="2" fontId="0" fillId="0" borderId="0" xfId="0" applyNumberFormat="1" applyFill="1"/>
    <xf numFmtId="0" fontId="0" fillId="0" borderId="0" xfId="0"/>
    <xf numFmtId="2" fontId="3" fillId="0" borderId="1" xfId="2" applyNumberFormat="1" applyFont="1" applyBorder="1"/>
    <xf numFmtId="2" fontId="0" fillId="0" borderId="0" xfId="0" applyNumberFormat="1"/>
    <xf numFmtId="0" fontId="3" fillId="0" borderId="3" xfId="2" applyFont="1" applyFill="1" applyBorder="1" applyAlignment="1">
      <alignment horizontal="right" wrapText="1"/>
    </xf>
    <xf numFmtId="2" fontId="3" fillId="0" borderId="3" xfId="2" applyNumberFormat="1" applyFont="1" applyFill="1" applyBorder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4" xfId="2" applyFont="1" applyFill="1" applyBorder="1"/>
    <xf numFmtId="0" fontId="3" fillId="0" borderId="4" xfId="2" applyFont="1" applyFill="1" applyBorder="1" applyAlignment="1">
      <alignment horizontal="center"/>
    </xf>
    <xf numFmtId="2" fontId="3" fillId="0" borderId="4" xfId="2" applyNumberFormat="1" applyFont="1" applyFill="1" applyBorder="1"/>
    <xf numFmtId="0" fontId="37" fillId="0" borderId="1" xfId="2" applyFont="1" applyFill="1" applyBorder="1" applyAlignment="1">
      <alignment wrapText="1"/>
    </xf>
    <xf numFmtId="0" fontId="1" fillId="0" borderId="2" xfId="2" applyFont="1" applyBorder="1" applyAlignment="1">
      <alignment horizontal="center" wrapText="1"/>
    </xf>
    <xf numFmtId="0" fontId="1" fillId="0" borderId="12" xfId="2" applyFont="1" applyBorder="1" applyAlignment="1">
      <alignment wrapText="1"/>
    </xf>
    <xf numFmtId="0" fontId="45" fillId="0" borderId="1" xfId="7" applyBorder="1"/>
    <xf numFmtId="2" fontId="1" fillId="0" borderId="1" xfId="0" applyNumberFormat="1" applyFont="1" applyBorder="1"/>
    <xf numFmtId="2" fontId="45" fillId="0" borderId="1" xfId="8" applyNumberFormat="1" applyBorder="1"/>
    <xf numFmtId="2" fontId="1" fillId="0" borderId="11" xfId="2" applyNumberFormat="1" applyFont="1" applyBorder="1" applyAlignment="1">
      <alignment wrapText="1"/>
    </xf>
    <xf numFmtId="165" fontId="33" fillId="3" borderId="1" xfId="2" applyNumberFormat="1" applyFont="1" applyFill="1" applyBorder="1"/>
    <xf numFmtId="0" fontId="106" fillId="0" borderId="2" xfId="2" applyFont="1" applyFill="1" applyBorder="1" applyAlignment="1">
      <alignment wrapText="1"/>
    </xf>
    <xf numFmtId="2" fontId="49" fillId="0" borderId="5" xfId="2" applyNumberFormat="1" applyFont="1" applyFill="1" applyBorder="1" applyAlignment="1">
      <alignment wrapText="1"/>
    </xf>
    <xf numFmtId="2" fontId="1" fillId="0" borderId="5" xfId="2" applyNumberFormat="1" applyFont="1" applyFill="1" applyBorder="1" applyAlignment="1">
      <alignment horizontal="right" wrapText="1"/>
    </xf>
    <xf numFmtId="0" fontId="0" fillId="0" borderId="1" xfId="0" applyFill="1" applyBorder="1"/>
    <xf numFmtId="2" fontId="15" fillId="0" borderId="2" xfId="2" applyNumberFormat="1" applyFont="1" applyFill="1" applyBorder="1" applyAlignment="1">
      <alignment wrapText="1"/>
    </xf>
    <xf numFmtId="0" fontId="15" fillId="0" borderId="11" xfId="2" applyFont="1" applyFill="1" applyBorder="1" applyAlignment="1">
      <alignment horizontal="center" wrapText="1"/>
    </xf>
    <xf numFmtId="2" fontId="1" fillId="3" borderId="4" xfId="2" applyNumberFormat="1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5" fillId="0" borderId="2" xfId="2" applyFont="1" applyBorder="1" applyAlignment="1">
      <alignment horizontal="center" wrapText="1"/>
    </xf>
    <xf numFmtId="0" fontId="15" fillId="0" borderId="12" xfId="2" applyFont="1" applyBorder="1" applyAlignment="1">
      <alignment wrapText="1"/>
    </xf>
    <xf numFmtId="2" fontId="15" fillId="0" borderId="9" xfId="2" applyNumberFormat="1" applyFont="1" applyBorder="1" applyAlignment="1">
      <alignment wrapText="1"/>
    </xf>
    <xf numFmtId="2" fontId="15" fillId="0" borderId="3" xfId="2" applyNumberFormat="1" applyFont="1" applyBorder="1" applyAlignment="1">
      <alignment wrapText="1"/>
    </xf>
    <xf numFmtId="2" fontId="15" fillId="0" borderId="11" xfId="2" applyNumberFormat="1" applyFont="1" applyBorder="1" applyAlignment="1">
      <alignment wrapText="1"/>
    </xf>
    <xf numFmtId="0" fontId="15" fillId="0" borderId="1" xfId="6" applyFont="1" applyBorder="1" applyAlignment="1">
      <alignment horizontal="center"/>
    </xf>
    <xf numFmtId="0" fontId="15" fillId="0" borderId="1" xfId="6" applyFont="1" applyBorder="1"/>
    <xf numFmtId="2" fontId="15" fillId="0" borderId="1" xfId="6" applyNumberFormat="1" applyFont="1" applyFill="1" applyBorder="1"/>
    <xf numFmtId="2" fontId="15" fillId="0" borderId="1" xfId="6" applyNumberFormat="1" applyFont="1" applyBorder="1"/>
    <xf numFmtId="0" fontId="34" fillId="0" borderId="1" xfId="2" applyFont="1" applyBorder="1" applyAlignment="1">
      <alignment horizontal="center" wrapText="1"/>
    </xf>
    <xf numFmtId="2" fontId="49" fillId="0" borderId="5" xfId="2" applyNumberFormat="1" applyFont="1" applyBorder="1" applyAlignment="1">
      <alignment wrapText="1"/>
    </xf>
    <xf numFmtId="2" fontId="1" fillId="0" borderId="5" xfId="2" applyNumberFormat="1" applyFont="1" applyBorder="1" applyAlignment="1">
      <alignment horizontal="right" wrapText="1"/>
    </xf>
    <xf numFmtId="2" fontId="15" fillId="0" borderId="2" xfId="2" applyNumberFormat="1" applyFont="1" applyBorder="1" applyAlignment="1">
      <alignment wrapText="1"/>
    </xf>
    <xf numFmtId="0" fontId="15" fillId="0" borderId="11" xfId="2" applyFont="1" applyBorder="1" applyAlignment="1">
      <alignment horizontal="center" wrapText="1"/>
    </xf>
    <xf numFmtId="2" fontId="1" fillId="3" borderId="2" xfId="2" applyNumberFormat="1" applyFont="1" applyFill="1" applyBorder="1" applyAlignment="1">
      <alignment wrapText="1"/>
    </xf>
    <xf numFmtId="0" fontId="33" fillId="0" borderId="1" xfId="2" applyFont="1" applyBorder="1" applyAlignment="1">
      <alignment horizontal="center"/>
    </xf>
    <xf numFmtId="1" fontId="33" fillId="0" borderId="1" xfId="2" applyNumberFormat="1" applyFont="1" applyBorder="1" applyAlignment="1">
      <alignment horizontal="center"/>
    </xf>
    <xf numFmtId="1" fontId="33" fillId="0" borderId="17" xfId="2" applyNumberFormat="1" applyFont="1" applyBorder="1" applyAlignment="1">
      <alignment horizontal="center"/>
    </xf>
    <xf numFmtId="0" fontId="33" fillId="0" borderId="1" xfId="2" applyNumberFormat="1" applyFont="1" applyBorder="1" applyAlignment="1">
      <alignment horizontal="center"/>
    </xf>
    <xf numFmtId="0" fontId="33" fillId="0" borderId="1" xfId="2" applyNumberFormat="1" applyFont="1" applyBorder="1"/>
    <xf numFmtId="0" fontId="33" fillId="0" borderId="22" xfId="2" applyNumberFormat="1" applyFont="1" applyBorder="1" applyAlignment="1">
      <alignment horizontal="right" wrapText="1"/>
    </xf>
    <xf numFmtId="0" fontId="33" fillId="0" borderId="1" xfId="2" applyNumberFormat="1" applyFont="1" applyBorder="1" applyAlignment="1">
      <alignment horizontal="center" wrapText="1"/>
    </xf>
    <xf numFmtId="0" fontId="34" fillId="0" borderId="1" xfId="2" applyFont="1" applyBorder="1" applyAlignment="1">
      <alignment horizontal="center"/>
    </xf>
    <xf numFmtId="0" fontId="34" fillId="0" borderId="5" xfId="2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2" fontId="3" fillId="0" borderId="9" xfId="0" applyNumberFormat="1" applyFont="1" applyFill="1" applyBorder="1" applyAlignment="1">
      <alignment horizontal="right" wrapText="1"/>
    </xf>
    <xf numFmtId="2" fontId="3" fillId="0" borderId="23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horizontal="right" wrapText="1"/>
    </xf>
    <xf numFmtId="0" fontId="16" fillId="0" borderId="24" xfId="0" applyFont="1" applyFill="1" applyBorder="1" applyAlignment="1">
      <alignment horizontal="right" wrapText="1"/>
    </xf>
    <xf numFmtId="2" fontId="16" fillId="0" borderId="9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2" fontId="3" fillId="0" borderId="19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right" wrapText="1"/>
    </xf>
    <xf numFmtId="2" fontId="16" fillId="0" borderId="1" xfId="0" applyNumberFormat="1" applyFont="1" applyFill="1" applyBorder="1" applyAlignment="1">
      <alignment horizontal="right" wrapText="1"/>
    </xf>
    <xf numFmtId="1" fontId="63" fillId="0" borderId="2" xfId="0" applyNumberFormat="1" applyFont="1" applyFill="1" applyBorder="1" applyAlignment="1">
      <alignment horizontal="center"/>
    </xf>
    <xf numFmtId="2" fontId="63" fillId="0" borderId="2" xfId="0" applyNumberFormat="1" applyFont="1" applyFill="1" applyBorder="1" applyAlignment="1">
      <alignment horizontal="center"/>
    </xf>
    <xf numFmtId="2" fontId="63" fillId="0" borderId="2" xfId="0" applyNumberFormat="1" applyFont="1" applyFill="1" applyBorder="1" applyAlignment="1">
      <alignment horizontal="right"/>
    </xf>
    <xf numFmtId="0" fontId="63" fillId="0" borderId="2" xfId="0" applyFont="1" applyFill="1" applyBorder="1" applyAlignment="1">
      <alignment horizontal="center"/>
    </xf>
    <xf numFmtId="1" fontId="63" fillId="0" borderId="2" xfId="0" applyNumberFormat="1" applyFont="1" applyBorder="1" applyAlignment="1">
      <alignment horizontal="center"/>
    </xf>
    <xf numFmtId="2" fontId="63" fillId="0" borderId="2" xfId="0" applyNumberFormat="1" applyFont="1" applyBorder="1" applyAlignment="1">
      <alignment horizontal="center"/>
    </xf>
    <xf numFmtId="2" fontId="63" fillId="0" borderId="2" xfId="0" applyNumberFormat="1" applyFont="1" applyBorder="1" applyAlignment="1">
      <alignment horizontal="right"/>
    </xf>
    <xf numFmtId="0" fontId="95" fillId="0" borderId="2" xfId="0" applyFont="1" applyFill="1" applyBorder="1" applyAlignment="1">
      <alignment horizontal="center"/>
    </xf>
    <xf numFmtId="1" fontId="95" fillId="0" borderId="2" xfId="0" applyNumberFormat="1" applyFont="1" applyFill="1" applyBorder="1" applyProtection="1">
      <protection locked="0"/>
    </xf>
    <xf numFmtId="2" fontId="95" fillId="0" borderId="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/>
    </xf>
    <xf numFmtId="1" fontId="16" fillId="0" borderId="2" xfId="0" applyNumberFormat="1" applyFont="1" applyFill="1" applyBorder="1"/>
    <xf numFmtId="2" fontId="16" fillId="0" borderId="2" xfId="0" applyNumberFormat="1" applyFont="1" applyFill="1" applyBorder="1"/>
    <xf numFmtId="0" fontId="95" fillId="0" borderId="2" xfId="0" applyFont="1" applyFill="1" applyBorder="1"/>
    <xf numFmtId="2" fontId="95" fillId="0" borderId="2" xfId="0" applyNumberFormat="1" applyFont="1" applyFill="1" applyBorder="1"/>
    <xf numFmtId="0" fontId="95" fillId="0" borderId="0" xfId="0" applyFont="1" applyFill="1"/>
    <xf numFmtId="0" fontId="16" fillId="0" borderId="1" xfId="0" applyFont="1" applyFill="1" applyBorder="1"/>
    <xf numFmtId="2" fontId="16" fillId="0" borderId="1" xfId="0" applyNumberFormat="1" applyFont="1" applyFill="1" applyBorder="1"/>
    <xf numFmtId="0" fontId="55" fillId="0" borderId="0" xfId="0" applyFont="1" applyFill="1"/>
    <xf numFmtId="2" fontId="71" fillId="0" borderId="0" xfId="0" applyNumberFormat="1" applyFont="1" applyFill="1"/>
    <xf numFmtId="2" fontId="16" fillId="0" borderId="1" xfId="6" applyNumberFormat="1" applyFont="1" applyFill="1" applyBorder="1"/>
    <xf numFmtId="2" fontId="16" fillId="0" borderId="1" xfId="6" applyNumberFormat="1" applyFont="1" applyBorder="1"/>
    <xf numFmtId="0" fontId="3" fillId="0" borderId="3" xfId="2" applyFont="1" applyBorder="1" applyAlignment="1">
      <alignment wrapText="1"/>
    </xf>
    <xf numFmtId="0" fontId="3" fillId="0" borderId="22" xfId="2" applyFont="1" applyBorder="1" applyAlignment="1">
      <alignment wrapText="1"/>
    </xf>
    <xf numFmtId="1" fontId="3" fillId="0" borderId="1" xfId="2" applyNumberFormat="1" applyFont="1" applyBorder="1" applyAlignment="1">
      <alignment wrapText="1"/>
    </xf>
    <xf numFmtId="2" fontId="3" fillId="0" borderId="9" xfId="2" applyNumberFormat="1" applyFont="1" applyBorder="1" applyAlignment="1">
      <alignment horizontal="right" wrapText="1"/>
    </xf>
    <xf numFmtId="2" fontId="3" fillId="0" borderId="9" xfId="2" applyNumberFormat="1" applyFont="1" applyBorder="1" applyAlignment="1">
      <alignment wrapText="1"/>
    </xf>
    <xf numFmtId="0" fontId="13" fillId="0" borderId="3" xfId="2" applyFont="1" applyFill="1" applyBorder="1" applyAlignment="1">
      <alignment wrapText="1"/>
    </xf>
    <xf numFmtId="0" fontId="13" fillId="0" borderId="9" xfId="2" applyFont="1" applyFill="1" applyBorder="1" applyAlignment="1">
      <alignment wrapText="1"/>
    </xf>
    <xf numFmtId="2" fontId="18" fillId="0" borderId="0" xfId="2" applyNumberFormat="1" applyFont="1" applyFill="1"/>
    <xf numFmtId="1" fontId="18" fillId="0" borderId="0" xfId="2" applyNumberFormat="1" applyFont="1" applyFill="1"/>
    <xf numFmtId="0" fontId="18" fillId="0" borderId="0" xfId="2" applyFont="1" applyFill="1"/>
    <xf numFmtId="2" fontId="18" fillId="0" borderId="19" xfId="2" applyNumberFormat="1" applyFont="1" applyFill="1" applyBorder="1"/>
    <xf numFmtId="2" fontId="35" fillId="0" borderId="1" xfId="2" applyNumberFormat="1" applyFont="1" applyBorder="1"/>
    <xf numFmtId="165" fontId="35" fillId="3" borderId="1" xfId="2" applyNumberFormat="1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0" fontId="63" fillId="0" borderId="2" xfId="0" applyFont="1" applyFill="1" applyBorder="1" applyProtection="1">
      <protection locked="0"/>
    </xf>
    <xf numFmtId="0" fontId="62" fillId="0" borderId="1" xfId="0" applyFont="1" applyFill="1" applyBorder="1" applyProtection="1">
      <protection locked="0"/>
    </xf>
    <xf numFmtId="1" fontId="62" fillId="0" borderId="11" xfId="0" applyNumberFormat="1" applyFont="1" applyFill="1" applyBorder="1" applyProtection="1">
      <protection locked="0"/>
    </xf>
    <xf numFmtId="1" fontId="63" fillId="0" borderId="2" xfId="0" applyNumberFormat="1" applyFont="1" applyFill="1" applyBorder="1"/>
    <xf numFmtId="2" fontId="63" fillId="0" borderId="2" xfId="0" applyNumberFormat="1" applyFont="1" applyFill="1" applyBorder="1"/>
    <xf numFmtId="1" fontId="35" fillId="0" borderId="1" xfId="2" applyNumberFormat="1" applyFont="1" applyFill="1" applyBorder="1" applyAlignment="1">
      <alignment horizontal="center"/>
    </xf>
    <xf numFmtId="0" fontId="35" fillId="0" borderId="1" xfId="2" applyNumberFormat="1" applyFont="1" applyFill="1" applyBorder="1" applyAlignment="1">
      <alignment horizontal="center"/>
    </xf>
    <xf numFmtId="0" fontId="35" fillId="0" borderId="1" xfId="2" applyNumberFormat="1" applyFont="1" applyFill="1" applyBorder="1" applyAlignment="1">
      <alignment horizontal="right"/>
    </xf>
    <xf numFmtId="0" fontId="33" fillId="0" borderId="11" xfId="2" applyNumberFormat="1" applyFont="1" applyFill="1" applyBorder="1" applyAlignment="1">
      <alignment horizontal="right" wrapText="1"/>
    </xf>
    <xf numFmtId="0" fontId="35" fillId="0" borderId="1" xfId="2" applyNumberFormat="1" applyFont="1" applyFill="1" applyBorder="1" applyAlignment="1">
      <alignment horizontal="center" vertical="center"/>
    </xf>
    <xf numFmtId="0" fontId="15" fillId="0" borderId="30" xfId="0" applyFont="1" applyFill="1" applyBorder="1"/>
    <xf numFmtId="2" fontId="15" fillId="0" borderId="30" xfId="0" applyNumberFormat="1" applyFont="1" applyFill="1" applyBorder="1"/>
    <xf numFmtId="0" fontId="16" fillId="0" borderId="3" xfId="2" applyFont="1" applyFill="1" applyBorder="1" applyAlignment="1">
      <alignment horizontal="right" wrapText="1"/>
    </xf>
    <xf numFmtId="2" fontId="16" fillId="0" borderId="3" xfId="2" applyNumberFormat="1" applyFont="1" applyFill="1" applyBorder="1" applyAlignment="1">
      <alignment horizontal="right" wrapText="1"/>
    </xf>
    <xf numFmtId="2" fontId="3" fillId="0" borderId="7" xfId="0" applyNumberFormat="1" applyFont="1" applyFill="1" applyBorder="1" applyAlignment="1">
      <alignment horizontal="right" wrapText="1"/>
    </xf>
    <xf numFmtId="2" fontId="0" fillId="0" borderId="0" xfId="0" applyNumberFormat="1" applyFont="1" applyFill="1" applyBorder="1"/>
    <xf numFmtId="164" fontId="0" fillId="0" borderId="1" xfId="3" applyNumberFormat="1" applyFont="1" applyFill="1" applyBorder="1" applyAlignment="1">
      <alignment horizontal="right" wrapText="1"/>
    </xf>
    <xf numFmtId="0" fontId="16" fillId="0" borderId="10" xfId="2" applyFont="1" applyFill="1" applyBorder="1" applyAlignment="1">
      <alignment horizontal="right" wrapText="1"/>
    </xf>
    <xf numFmtId="2" fontId="16" fillId="0" borderId="10" xfId="2" applyNumberFormat="1" applyFont="1" applyFill="1" applyBorder="1" applyAlignment="1">
      <alignment horizontal="right" wrapText="1"/>
    </xf>
    <xf numFmtId="1" fontId="15" fillId="0" borderId="1" xfId="0" applyNumberFormat="1" applyFont="1" applyFill="1" applyBorder="1"/>
    <xf numFmtId="0" fontId="55" fillId="0" borderId="1" xfId="0" applyFont="1" applyFill="1" applyBorder="1" applyAlignment="1">
      <alignment horizontal="center"/>
    </xf>
    <xf numFmtId="0" fontId="55" fillId="0" borderId="1" xfId="0" applyFont="1" applyFill="1" applyBorder="1"/>
    <xf numFmtId="2" fontId="55" fillId="0" borderId="1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/>
    </xf>
    <xf numFmtId="2" fontId="23" fillId="0" borderId="0" xfId="0" applyNumberFormat="1" applyFont="1" applyFill="1"/>
    <xf numFmtId="0" fontId="1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81" fillId="0" borderId="1" xfId="0" applyFont="1" applyBorder="1" applyAlignment="1">
      <alignment horizontal="center" vertical="center" wrapText="1"/>
    </xf>
    <xf numFmtId="0" fontId="1" fillId="0" borderId="1" xfId="2" applyFont="1" applyFill="1" applyBorder="1"/>
    <xf numFmtId="1" fontId="3" fillId="0" borderId="1" xfId="2" applyNumberFormat="1" applyFont="1" applyFill="1" applyBorder="1" applyAlignment="1">
      <alignment horizontal="center"/>
    </xf>
    <xf numFmtId="1" fontId="30" fillId="0" borderId="1" xfId="2" applyNumberFormat="1" applyFont="1" applyFill="1" applyBorder="1" applyAlignment="1">
      <alignment horizontal="center"/>
    </xf>
    <xf numFmtId="2" fontId="30" fillId="0" borderId="1" xfId="2" applyNumberFormat="1" applyFont="1" applyFill="1" applyBorder="1"/>
    <xf numFmtId="2" fontId="107" fillId="0" borderId="1" xfId="2" applyNumberFormat="1" applyFont="1" applyFill="1" applyBorder="1" applyAlignment="1">
      <alignment horizontal="right"/>
    </xf>
    <xf numFmtId="0" fontId="1" fillId="0" borderId="9" xfId="2" applyFont="1" applyFill="1" applyBorder="1" applyAlignment="1">
      <alignment wrapText="1"/>
    </xf>
    <xf numFmtId="1" fontId="1" fillId="0" borderId="9" xfId="2" applyNumberFormat="1" applyFont="1" applyFill="1" applyBorder="1" applyAlignment="1">
      <alignment wrapText="1"/>
    </xf>
    <xf numFmtId="1" fontId="3" fillId="0" borderId="9" xfId="2" applyNumberFormat="1" applyFont="1" applyFill="1" applyBorder="1" applyAlignment="1">
      <alignment wrapText="1"/>
    </xf>
    <xf numFmtId="2" fontId="3" fillId="0" borderId="17" xfId="0" applyNumberFormat="1" applyFont="1" applyFill="1" applyBorder="1"/>
    <xf numFmtId="2" fontId="3" fillId="0" borderId="3" xfId="2" applyNumberFormat="1" applyFont="1" applyFill="1" applyBorder="1" applyAlignment="1">
      <alignment wrapText="1"/>
    </xf>
    <xf numFmtId="0" fontId="1" fillId="0" borderId="11" xfId="2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9" xfId="2" applyFont="1" applyFill="1" applyBorder="1" applyAlignment="1">
      <alignment wrapText="1"/>
    </xf>
    <xf numFmtId="0" fontId="3" fillId="0" borderId="3" xfId="2" applyFont="1" applyFill="1" applyBorder="1" applyAlignment="1">
      <alignment wrapText="1"/>
    </xf>
    <xf numFmtId="2" fontId="3" fillId="0" borderId="9" xfId="2" applyNumberFormat="1" applyFont="1" applyFill="1" applyBorder="1" applyAlignment="1">
      <alignment horizontal="right" wrapText="1"/>
    </xf>
    <xf numFmtId="0" fontId="48" fillId="0" borderId="2" xfId="2" applyFont="1" applyFill="1" applyBorder="1" applyAlignment="1">
      <alignment horizontal="center" wrapText="1"/>
    </xf>
    <xf numFmtId="1" fontId="48" fillId="0" borderId="2" xfId="2" applyNumberFormat="1" applyFont="1" applyFill="1" applyBorder="1" applyAlignment="1">
      <alignment wrapText="1"/>
    </xf>
    <xf numFmtId="2" fontId="48" fillId="0" borderId="3" xfId="2" applyNumberFormat="1" applyFont="1" applyFill="1" applyBorder="1" applyAlignment="1">
      <alignment wrapText="1"/>
    </xf>
    <xf numFmtId="2" fontId="48" fillId="0" borderId="2" xfId="2" applyNumberFormat="1" applyFont="1" applyFill="1" applyBorder="1" applyAlignment="1">
      <alignment wrapText="1"/>
    </xf>
    <xf numFmtId="2" fontId="48" fillId="0" borderId="4" xfId="2" applyNumberFormat="1" applyFont="1" applyFill="1" applyBorder="1" applyAlignment="1">
      <alignment wrapText="1"/>
    </xf>
    <xf numFmtId="2" fontId="48" fillId="0" borderId="5" xfId="2" applyNumberFormat="1" applyFont="1" applyFill="1" applyBorder="1" applyAlignment="1">
      <alignment wrapText="1"/>
    </xf>
    <xf numFmtId="2" fontId="48" fillId="0" borderId="1" xfId="2" applyNumberFormat="1" applyFont="1" applyFill="1" applyBorder="1" applyAlignment="1">
      <alignment wrapText="1"/>
    </xf>
    <xf numFmtId="2" fontId="48" fillId="0" borderId="11" xfId="2" applyNumberFormat="1" applyFont="1" applyFill="1" applyBorder="1" applyAlignment="1">
      <alignment wrapText="1"/>
    </xf>
    <xf numFmtId="2" fontId="35" fillId="0" borderId="1" xfId="2" applyNumberFormat="1" applyFont="1" applyFill="1" applyBorder="1"/>
    <xf numFmtId="165" fontId="35" fillId="0" borderId="1" xfId="2" applyNumberFormat="1" applyFont="1" applyFill="1" applyBorder="1"/>
    <xf numFmtId="0" fontId="35" fillId="0" borderId="2" xfId="2" applyFont="1" applyFill="1" applyBorder="1" applyAlignment="1">
      <alignment wrapText="1"/>
    </xf>
    <xf numFmtId="0" fontId="33" fillId="0" borderId="2" xfId="2" applyFont="1" applyFill="1" applyBorder="1" applyAlignment="1">
      <alignment wrapText="1"/>
    </xf>
    <xf numFmtId="2" fontId="33" fillId="0" borderId="2" xfId="2" applyNumberFormat="1" applyFont="1" applyFill="1" applyBorder="1" applyAlignment="1">
      <alignment wrapText="1"/>
    </xf>
    <xf numFmtId="2" fontId="33" fillId="0" borderId="1" xfId="0" applyNumberFormat="1" applyFont="1" applyFill="1" applyBorder="1"/>
    <xf numFmtId="0" fontId="0" fillId="0" borderId="13" xfId="0" applyFont="1" applyFill="1" applyBorder="1" applyAlignment="1">
      <alignment horizontal="center"/>
    </xf>
    <xf numFmtId="0" fontId="23" fillId="0" borderId="4" xfId="0" applyFont="1" applyFill="1" applyBorder="1"/>
    <xf numFmtId="2" fontId="36" fillId="0" borderId="14" xfId="2" applyNumberFormat="1" applyFont="1" applyBorder="1" applyAlignment="1">
      <alignment wrapText="1"/>
    </xf>
    <xf numFmtId="2" fontId="35" fillId="0" borderId="14" xfId="2" applyNumberFormat="1" applyFont="1" applyBorder="1" applyAlignment="1">
      <alignment wrapText="1"/>
    </xf>
    <xf numFmtId="2" fontId="88" fillId="0" borderId="14" xfId="2" applyNumberFormat="1" applyFont="1" applyBorder="1" applyAlignment="1">
      <alignment wrapText="1"/>
    </xf>
    <xf numFmtId="2" fontId="35" fillId="0" borderId="14" xfId="2" applyNumberFormat="1" applyFont="1" applyFill="1" applyBorder="1" applyAlignment="1">
      <alignment wrapText="1"/>
    </xf>
    <xf numFmtId="2" fontId="88" fillId="0" borderId="14" xfId="2" applyNumberFormat="1" applyFont="1" applyFill="1" applyBorder="1" applyAlignment="1">
      <alignment wrapText="1"/>
    </xf>
    <xf numFmtId="2" fontId="88" fillId="0" borderId="5" xfId="2" applyNumberFormat="1" applyFont="1" applyFill="1" applyBorder="1" applyAlignment="1">
      <alignment wrapText="1"/>
    </xf>
    <xf numFmtId="0" fontId="50" fillId="0" borderId="0" xfId="4" applyFont="1" applyBorder="1"/>
    <xf numFmtId="2" fontId="48" fillId="0" borderId="0" xfId="2" applyNumberFormat="1" applyFont="1" applyBorder="1" applyAlignment="1">
      <alignment wrapText="1"/>
    </xf>
    <xf numFmtId="2" fontId="49" fillId="0" borderId="0" xfId="2" applyNumberFormat="1" applyFont="1" applyFill="1" applyBorder="1" applyAlignment="1">
      <alignment wrapText="1"/>
    </xf>
    <xf numFmtId="2" fontId="49" fillId="0" borderId="0" xfId="2" applyNumberFormat="1" applyFont="1" applyBorder="1" applyAlignment="1">
      <alignment wrapText="1"/>
    </xf>
    <xf numFmtId="0" fontId="50" fillId="0" borderId="31" xfId="4" applyFont="1" applyBorder="1"/>
    <xf numFmtId="2" fontId="89" fillId="0" borderId="31" xfId="2" applyNumberFormat="1" applyFont="1" applyBorder="1" applyAlignment="1">
      <alignment wrapText="1"/>
    </xf>
    <xf numFmtId="0" fontId="50" fillId="0" borderId="31" xfId="4" applyFont="1" applyFill="1" applyBorder="1"/>
    <xf numFmtId="2" fontId="89" fillId="0" borderId="31" xfId="2" applyNumberFormat="1" applyFont="1" applyFill="1" applyBorder="1" applyAlignment="1">
      <alignment wrapText="1"/>
    </xf>
    <xf numFmtId="2" fontId="48" fillId="0" borderId="31" xfId="2" applyNumberFormat="1" applyFont="1" applyFill="1" applyBorder="1" applyAlignment="1">
      <alignment wrapText="1"/>
    </xf>
    <xf numFmtId="2" fontId="49" fillId="0" borderId="31" xfId="2" applyNumberFormat="1" applyFont="1" applyFill="1" applyBorder="1" applyAlignment="1">
      <alignment wrapText="1"/>
    </xf>
    <xf numFmtId="2" fontId="35" fillId="0" borderId="1" xfId="0" applyNumberFormat="1" applyFont="1" applyFill="1" applyBorder="1" applyAlignment="1">
      <alignment wrapText="1"/>
    </xf>
    <xf numFmtId="2" fontId="35" fillId="0" borderId="1" xfId="0" applyNumberFormat="1" applyFont="1" applyFill="1" applyBorder="1"/>
    <xf numFmtId="2" fontId="35" fillId="0" borderId="2" xfId="2" applyNumberFormat="1" applyFont="1" applyFill="1" applyBorder="1" applyAlignment="1">
      <alignment wrapText="1"/>
    </xf>
    <xf numFmtId="2" fontId="35" fillId="0" borderId="4" xfId="2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08" fillId="0" borderId="0" xfId="0" applyFont="1"/>
    <xf numFmtId="0" fontId="3" fillId="0" borderId="2" xfId="0" applyFont="1" applyFill="1" applyBorder="1" applyProtection="1">
      <protection locked="0"/>
    </xf>
    <xf numFmtId="1" fontId="3" fillId="0" borderId="2" xfId="0" applyNumberFormat="1" applyFont="1" applyFill="1" applyBorder="1"/>
    <xf numFmtId="2" fontId="3" fillId="0" borderId="2" xfId="0" applyNumberFormat="1" applyFont="1" applyFill="1" applyBorder="1"/>
    <xf numFmtId="0" fontId="84" fillId="0" borderId="0" xfId="0" applyFont="1" applyBorder="1"/>
    <xf numFmtId="0" fontId="86" fillId="0" borderId="0" xfId="0" applyFont="1" applyBorder="1"/>
    <xf numFmtId="0" fontId="87" fillId="0" borderId="0" xfId="0" applyFont="1" applyBorder="1" applyAlignment="1">
      <alignment wrapText="1"/>
    </xf>
    <xf numFmtId="0" fontId="6" fillId="0" borderId="0" xfId="0" applyFont="1" applyBorder="1"/>
    <xf numFmtId="2" fontId="6" fillId="0" borderId="0" xfId="0" applyNumberFormat="1" applyFont="1" applyBorder="1"/>
    <xf numFmtId="0" fontId="83" fillId="0" borderId="0" xfId="0" applyFont="1" applyBorder="1" applyAlignment="1"/>
    <xf numFmtId="0" fontId="82" fillId="0" borderId="0" xfId="0" applyFont="1" applyBorder="1" applyAlignment="1"/>
    <xf numFmtId="0" fontId="85" fillId="0" borderId="0" xfId="0" applyFont="1" applyBorder="1" applyAlignment="1"/>
    <xf numFmtId="0" fontId="86" fillId="0" borderId="1" xfId="9" applyFont="1" applyBorder="1" applyAlignment="1">
      <alignment wrapText="1"/>
    </xf>
    <xf numFmtId="0" fontId="87" fillId="0" borderId="1" xfId="9" applyFont="1" applyBorder="1" applyAlignment="1">
      <alignment wrapText="1"/>
    </xf>
    <xf numFmtId="0" fontId="6" fillId="0" borderId="1" xfId="9" applyFont="1" applyBorder="1"/>
    <xf numFmtId="2" fontId="6" fillId="0" borderId="1" xfId="9" applyNumberFormat="1" applyFont="1" applyBorder="1"/>
    <xf numFmtId="0" fontId="108" fillId="0" borderId="0" xfId="0" applyFont="1" applyFill="1"/>
    <xf numFmtId="0" fontId="85" fillId="0" borderId="31" xfId="9" applyFont="1" applyBorder="1" applyAlignment="1">
      <alignment wrapText="1"/>
    </xf>
    <xf numFmtId="0" fontId="17" fillId="0" borderId="1" xfId="0" applyFont="1" applyBorder="1"/>
    <xf numFmtId="0" fontId="3" fillId="0" borderId="2" xfId="2" applyFont="1" applyFill="1" applyBorder="1"/>
    <xf numFmtId="0" fontId="3" fillId="0" borderId="2" xfId="2" applyFont="1" applyFill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0" fontId="109" fillId="0" borderId="0" xfId="0" applyFont="1" applyAlignment="1">
      <alignment horizontal="center" vertical="top"/>
    </xf>
    <xf numFmtId="0" fontId="13" fillId="0" borderId="0" xfId="2" applyFont="1" applyBorder="1"/>
    <xf numFmtId="0" fontId="32" fillId="0" borderId="0" xfId="2" applyFont="1" applyBorder="1"/>
    <xf numFmtId="0" fontId="16" fillId="0" borderId="0" xfId="2" applyFont="1" applyBorder="1" applyAlignment="1">
      <alignment horizontal="center"/>
    </xf>
    <xf numFmtId="0" fontId="3" fillId="0" borderId="1" xfId="2" applyFont="1" applyFill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3" fillId="0" borderId="5" xfId="2" applyNumberFormat="1" applyFont="1" applyFill="1" applyBorder="1" applyAlignment="1">
      <alignment wrapText="1"/>
    </xf>
    <xf numFmtId="0" fontId="1" fillId="0" borderId="0" xfId="2" applyFont="1" applyFill="1"/>
    <xf numFmtId="1" fontId="1" fillId="0" borderId="19" xfId="2" applyNumberFormat="1" applyFont="1" applyFill="1" applyBorder="1"/>
    <xf numFmtId="0" fontId="1" fillId="0" borderId="9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9" fillId="0" borderId="0" xfId="2" applyFont="1" applyBorder="1" applyAlignment="1">
      <alignment vertical="center" wrapText="1"/>
    </xf>
    <xf numFmtId="0" fontId="33" fillId="0" borderId="11" xfId="2" applyNumberFormat="1" applyFont="1" applyFill="1" applyBorder="1" applyAlignment="1">
      <alignment horizontal="center" wrapText="1"/>
    </xf>
    <xf numFmtId="0" fontId="33" fillId="0" borderId="2" xfId="2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27" fillId="0" borderId="1" xfId="0" applyFont="1" applyFill="1" applyBorder="1"/>
    <xf numFmtId="2" fontId="27" fillId="0" borderId="1" xfId="0" applyNumberFormat="1" applyFont="1" applyFill="1" applyBorder="1"/>
    <xf numFmtId="0" fontId="1" fillId="0" borderId="3" xfId="0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right" wrapText="1"/>
    </xf>
    <xf numFmtId="2" fontId="1" fillId="0" borderId="19" xfId="0" applyNumberFormat="1" applyFont="1" applyFill="1" applyBorder="1" applyAlignment="1">
      <alignment horizontal="right" wrapText="1"/>
    </xf>
    <xf numFmtId="0" fontId="1" fillId="0" borderId="26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Protection="1">
      <protection locked="0"/>
    </xf>
    <xf numFmtId="2" fontId="6" fillId="0" borderId="2" xfId="0" applyNumberFormat="1" applyFont="1" applyFill="1" applyBorder="1" applyProtection="1">
      <protection locked="0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1" fontId="69" fillId="0" borderId="1" xfId="0" applyNumberFormat="1" applyFont="1" applyFill="1" applyBorder="1" applyProtection="1">
      <protection locked="0"/>
    </xf>
    <xf numFmtId="2" fontId="69" fillId="0" borderId="1" xfId="0" applyNumberFormat="1" applyFont="1" applyFill="1" applyBorder="1" applyProtection="1">
      <protection locked="0"/>
    </xf>
    <xf numFmtId="0" fontId="69" fillId="0" borderId="1" xfId="0" applyFont="1" applyFill="1" applyBorder="1" applyAlignment="1" applyProtection="1">
      <alignment horizontal="center"/>
      <protection locked="0"/>
    </xf>
    <xf numFmtId="0" fontId="69" fillId="0" borderId="1" xfId="0" applyFont="1" applyFill="1" applyBorder="1" applyAlignment="1">
      <alignment horizontal="center"/>
    </xf>
    <xf numFmtId="1" fontId="69" fillId="0" borderId="1" xfId="0" applyNumberFormat="1" applyFont="1" applyFill="1" applyBorder="1"/>
    <xf numFmtId="2" fontId="69" fillId="0" borderId="1" xfId="0" applyNumberFormat="1" applyFont="1" applyFill="1" applyBorder="1"/>
    <xf numFmtId="2" fontId="69" fillId="0" borderId="1" xfId="0" applyNumberFormat="1" applyFont="1" applyFill="1" applyBorder="1" applyAlignment="1">
      <alignment horizontal="right"/>
    </xf>
    <xf numFmtId="0" fontId="70" fillId="0" borderId="1" xfId="0" applyFont="1" applyFill="1" applyBorder="1"/>
    <xf numFmtId="0" fontId="16" fillId="0" borderId="2" xfId="0" applyFont="1" applyFill="1" applyBorder="1" applyProtection="1">
      <protection locked="0"/>
    </xf>
    <xf numFmtId="0" fontId="63" fillId="0" borderId="1" xfId="0" applyFont="1" applyFill="1" applyBorder="1"/>
    <xf numFmtId="2" fontId="63" fillId="0" borderId="1" xfId="0" applyNumberFormat="1" applyFont="1" applyFill="1" applyBorder="1"/>
    <xf numFmtId="0" fontId="63" fillId="0" borderId="0" xfId="0" applyFont="1" applyFill="1"/>
    <xf numFmtId="1" fontId="63" fillId="0" borderId="1" xfId="0" applyNumberFormat="1" applyFont="1" applyFill="1" applyBorder="1"/>
    <xf numFmtId="2" fontId="62" fillId="0" borderId="4" xfId="0" applyNumberFormat="1" applyFont="1" applyFill="1" applyBorder="1"/>
    <xf numFmtId="0" fontId="62" fillId="0" borderId="16" xfId="0" applyFont="1" applyFill="1" applyBorder="1" applyAlignment="1">
      <alignment horizontal="right"/>
    </xf>
    <xf numFmtId="2" fontId="62" fillId="0" borderId="16" xfId="0" applyNumberFormat="1" applyFont="1" applyFill="1" applyBorder="1" applyAlignment="1">
      <alignment horizontal="right"/>
    </xf>
    <xf numFmtId="0" fontId="1" fillId="0" borderId="0" xfId="10"/>
    <xf numFmtId="0" fontId="61" fillId="0" borderId="0" xfId="10" applyFont="1"/>
    <xf numFmtId="0" fontId="55" fillId="0" borderId="0" xfId="10" applyFont="1"/>
    <xf numFmtId="0" fontId="8" fillId="0" borderId="0" xfId="10" applyFont="1"/>
    <xf numFmtId="0" fontId="55" fillId="0" borderId="1" xfId="10" applyFont="1" applyBorder="1" applyAlignment="1">
      <alignment horizontal="center" vertical="center"/>
    </xf>
    <xf numFmtId="0" fontId="55" fillId="0" borderId="1" xfId="10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/>
    </xf>
    <xf numFmtId="0" fontId="23" fillId="0" borderId="1" xfId="10" applyFont="1" applyBorder="1"/>
    <xf numFmtId="0" fontId="62" fillId="0" borderId="1" xfId="10" applyFont="1" applyBorder="1" applyAlignment="1">
      <alignment horizontal="center"/>
    </xf>
    <xf numFmtId="1" fontId="62" fillId="0" borderId="1" xfId="10" applyNumberFormat="1" applyFont="1" applyBorder="1" applyAlignment="1">
      <alignment horizontal="right"/>
    </xf>
    <xf numFmtId="166" fontId="62" fillId="0" borderId="1" xfId="2" applyNumberFormat="1" applyFont="1" applyFill="1" applyBorder="1" applyAlignment="1" applyProtection="1"/>
    <xf numFmtId="2" fontId="62" fillId="0" borderId="1" xfId="2" applyNumberFormat="1" applyFont="1" applyFill="1" applyBorder="1" applyAlignment="1">
      <alignment horizontal="right"/>
    </xf>
    <xf numFmtId="2" fontId="62" fillId="0" borderId="1" xfId="10" applyNumberFormat="1" applyFont="1" applyBorder="1"/>
    <xf numFmtId="2" fontId="62" fillId="0" borderId="1" xfId="10" applyNumberFormat="1" applyFont="1" applyBorder="1" applyAlignment="1">
      <alignment horizontal="right"/>
    </xf>
    <xf numFmtId="2" fontId="23" fillId="0" borderId="1" xfId="10" applyNumberFormat="1" applyFont="1" applyBorder="1"/>
    <xf numFmtId="2" fontId="23" fillId="0" borderId="1" xfId="10" applyNumberFormat="1" applyFont="1" applyBorder="1" applyAlignment="1">
      <alignment horizontal="right"/>
    </xf>
    <xf numFmtId="2" fontId="23" fillId="0" borderId="1" xfId="2" applyNumberFormat="1" applyFont="1" applyFill="1" applyBorder="1" applyAlignment="1">
      <alignment vertical="center" wrapText="1"/>
    </xf>
    <xf numFmtId="166" fontId="23" fillId="0" borderId="1" xfId="2" applyNumberFormat="1" applyFont="1" applyFill="1" applyBorder="1" applyAlignment="1">
      <alignment vertical="center" wrapText="1"/>
    </xf>
    <xf numFmtId="166" fontId="23" fillId="0" borderId="1" xfId="2" applyNumberFormat="1" applyFont="1" applyFill="1" applyBorder="1" applyAlignment="1">
      <alignment wrapText="1"/>
    </xf>
    <xf numFmtId="166" fontId="23" fillId="0" borderId="1" xfId="2" applyNumberFormat="1" applyFont="1" applyFill="1" applyBorder="1" applyAlignment="1" applyProtection="1">
      <alignment wrapText="1"/>
    </xf>
    <xf numFmtId="2" fontId="23" fillId="0" borderId="1" xfId="10" applyNumberFormat="1" applyFont="1" applyBorder="1" applyAlignment="1">
      <alignment vertical="center"/>
    </xf>
    <xf numFmtId="167" fontId="23" fillId="0" borderId="1" xfId="10" applyNumberFormat="1" applyFont="1" applyBorder="1" applyAlignment="1">
      <alignment vertical="center"/>
    </xf>
    <xf numFmtId="0" fontId="23" fillId="0" borderId="0" xfId="10" applyFont="1"/>
    <xf numFmtId="0" fontId="7" fillId="0" borderId="0" xfId="10" applyFont="1" applyBorder="1"/>
    <xf numFmtId="0" fontId="23" fillId="0" borderId="0" xfId="10" applyFont="1" applyBorder="1"/>
    <xf numFmtId="0" fontId="30" fillId="0" borderId="32" xfId="0" applyFont="1" applyFill="1" applyBorder="1"/>
    <xf numFmtId="2" fontId="1" fillId="0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83" fillId="0" borderId="0" xfId="9" applyFont="1" applyAlignment="1"/>
    <xf numFmtId="0" fontId="82" fillId="0" borderId="0" xfId="9" applyFont="1" applyAlignment="1"/>
    <xf numFmtId="0" fontId="1" fillId="0" borderId="1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4" borderId="2" xfId="0" applyFont="1" applyFill="1" applyBorder="1" applyAlignment="1" applyProtection="1">
      <alignment horizontal="center" wrapText="1"/>
      <protection locked="0"/>
    </xf>
    <xf numFmtId="0" fontId="0" fillId="4" borderId="3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0" fontId="55" fillId="4" borderId="2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center" wrapText="1"/>
    </xf>
    <xf numFmtId="0" fontId="53" fillId="4" borderId="1" xfId="2" applyFont="1" applyFill="1" applyBorder="1" applyAlignment="1">
      <alignment horizontal="center" vertical="center" wrapText="1"/>
    </xf>
    <xf numFmtId="0" fontId="35" fillId="4" borderId="1" xfId="2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wrapText="1"/>
    </xf>
    <xf numFmtId="0" fontId="91" fillId="0" borderId="1" xfId="0" applyFont="1" applyBorder="1" applyAlignment="1">
      <alignment wrapText="1"/>
    </xf>
    <xf numFmtId="0" fontId="91" fillId="0" borderId="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62" fillId="0" borderId="2" xfId="0" applyFont="1" applyBorder="1" applyAlignment="1">
      <alignment horizontal="center"/>
    </xf>
    <xf numFmtId="2" fontId="15" fillId="3" borderId="1" xfId="2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center"/>
    </xf>
    <xf numFmtId="1" fontId="1" fillId="0" borderId="1" xfId="2" applyNumberFormat="1" applyFont="1" applyFill="1" applyBorder="1" applyAlignment="1">
      <alignment horizontal="center" vertical="center"/>
    </xf>
    <xf numFmtId="2" fontId="3" fillId="0" borderId="2" xfId="2" applyNumberFormat="1" applyFont="1" applyBorder="1" applyAlignment="1">
      <alignment horizontal="center"/>
    </xf>
    <xf numFmtId="2" fontId="16" fillId="0" borderId="2" xfId="2" applyNumberFormat="1" applyFont="1" applyBorder="1" applyAlignment="1">
      <alignment horizontal="center"/>
    </xf>
    <xf numFmtId="2" fontId="3" fillId="0" borderId="2" xfId="2" applyNumberFormat="1" applyFont="1" applyFill="1" applyBorder="1" applyAlignment="1">
      <alignment horizontal="center"/>
    </xf>
    <xf numFmtId="1" fontId="1" fillId="3" borderId="1" xfId="2" applyNumberFormat="1" applyFont="1" applyFill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7" fillId="0" borderId="0" xfId="10" applyFont="1"/>
    <xf numFmtId="0" fontId="55" fillId="0" borderId="1" xfId="10" applyFont="1" applyBorder="1" applyAlignment="1">
      <alignment horizontal="center"/>
    </xf>
    <xf numFmtId="0" fontId="55" fillId="0" borderId="1" xfId="10" applyFont="1" applyBorder="1" applyAlignment="1">
      <alignment horizontal="center" wrapText="1"/>
    </xf>
    <xf numFmtId="2" fontId="62" fillId="0" borderId="1" xfId="2" applyNumberFormat="1" applyFont="1" applyFill="1" applyBorder="1" applyAlignment="1">
      <alignment vertical="center" wrapText="1"/>
    </xf>
    <xf numFmtId="166" fontId="62" fillId="0" borderId="1" xfId="2" applyNumberFormat="1" applyFont="1" applyFill="1" applyBorder="1" applyAlignment="1">
      <alignment vertical="center" wrapText="1"/>
    </xf>
    <xf numFmtId="166" fontId="62" fillId="0" borderId="1" xfId="2" applyNumberFormat="1" applyFont="1" applyFill="1" applyBorder="1" applyAlignment="1">
      <alignment wrapText="1"/>
    </xf>
    <xf numFmtId="166" fontId="62" fillId="0" borderId="1" xfId="2" applyNumberFormat="1" applyFont="1" applyFill="1" applyBorder="1" applyAlignment="1" applyProtection="1">
      <alignment wrapText="1"/>
    </xf>
    <xf numFmtId="2" fontId="62" fillId="0" borderId="1" xfId="10" applyNumberFormat="1" applyFont="1" applyBorder="1" applyAlignment="1">
      <alignment vertical="center"/>
    </xf>
    <xf numFmtId="167" fontId="62" fillId="0" borderId="1" xfId="10" applyNumberFormat="1" applyFont="1" applyBorder="1" applyAlignment="1">
      <alignment vertical="center"/>
    </xf>
    <xf numFmtId="2" fontId="71" fillId="0" borderId="1" xfId="10" applyNumberFormat="1" applyFont="1" applyBorder="1" applyAlignment="1">
      <alignment vertical="center"/>
    </xf>
    <xf numFmtId="0" fontId="1" fillId="0" borderId="0" xfId="10" applyFont="1" applyAlignment="1">
      <alignment horizontal="right"/>
    </xf>
    <xf numFmtId="0" fontId="1" fillId="0" borderId="0" xfId="10" applyFont="1"/>
    <xf numFmtId="0" fontId="1" fillId="0" borderId="0" xfId="11"/>
    <xf numFmtId="2" fontId="8" fillId="0" borderId="0" xfId="2" applyNumberFormat="1" applyFont="1" applyFill="1"/>
    <xf numFmtId="2" fontId="8" fillId="2" borderId="0" xfId="2" applyNumberFormat="1" applyFont="1" applyFill="1"/>
    <xf numFmtId="0" fontId="16" fillId="0" borderId="0" xfId="2" applyFont="1" applyFill="1" applyBorder="1"/>
    <xf numFmtId="0" fontId="14" fillId="0" borderId="1" xfId="2" applyFont="1" applyFill="1" applyBorder="1"/>
    <xf numFmtId="0" fontId="13" fillId="0" borderId="0" xfId="2" applyFont="1"/>
    <xf numFmtId="0" fontId="13" fillId="0" borderId="0" xfId="11" applyFont="1"/>
    <xf numFmtId="0" fontId="15" fillId="0" borderId="1" xfId="2" applyFont="1" applyBorder="1" applyAlignment="1">
      <alignment horizontal="right"/>
    </xf>
    <xf numFmtId="0" fontId="111" fillId="0" borderId="1" xfId="2" applyFont="1" applyBorder="1"/>
    <xf numFmtId="2" fontId="3" fillId="0" borderId="2" xfId="2" applyNumberFormat="1" applyFont="1" applyBorder="1"/>
    <xf numFmtId="0" fontId="16" fillId="0" borderId="0" xfId="2" applyFont="1" applyBorder="1"/>
    <xf numFmtId="0" fontId="8" fillId="0" borderId="0" xfId="2" applyFont="1" applyFill="1"/>
    <xf numFmtId="1" fontId="16" fillId="0" borderId="2" xfId="2" applyNumberFormat="1" applyFont="1" applyBorder="1" applyAlignment="1">
      <alignment horizontal="center"/>
    </xf>
    <xf numFmtId="2" fontId="16" fillId="0" borderId="2" xfId="2" applyNumberFormat="1" applyFont="1" applyBorder="1" applyAlignment="1">
      <alignment horizontal="right"/>
    </xf>
    <xf numFmtId="2" fontId="15" fillId="0" borderId="2" xfId="11" applyNumberFormat="1" applyFont="1" applyBorder="1"/>
    <xf numFmtId="2" fontId="15" fillId="0" borderId="5" xfId="11" applyNumberFormat="1" applyFont="1" applyBorder="1"/>
    <xf numFmtId="2" fontId="1" fillId="2" borderId="2" xfId="11" applyNumberFormat="1" applyFont="1" applyFill="1" applyBorder="1"/>
    <xf numFmtId="2" fontId="1" fillId="0" borderId="5" xfId="11" applyNumberFormat="1" applyFont="1" applyBorder="1"/>
    <xf numFmtId="2" fontId="15" fillId="2" borderId="2" xfId="11" applyNumberFormat="1" applyFont="1" applyFill="1" applyBorder="1"/>
    <xf numFmtId="2" fontId="1" fillId="0" borderId="2" xfId="11" applyNumberFormat="1" applyFont="1" applyBorder="1"/>
    <xf numFmtId="2" fontId="15" fillId="0" borderId="3" xfId="11" applyNumberFormat="1" applyFont="1" applyBorder="1"/>
    <xf numFmtId="2" fontId="1" fillId="0" borderId="3" xfId="11" applyNumberFormat="1" applyFont="1" applyBorder="1"/>
    <xf numFmtId="2" fontId="3" fillId="0" borderId="3" xfId="2" applyNumberFormat="1" applyFont="1" applyBorder="1"/>
    <xf numFmtId="2" fontId="15" fillId="2" borderId="2" xfId="2" applyNumberFormat="1" applyFont="1" applyFill="1" applyBorder="1"/>
    <xf numFmtId="2" fontId="15" fillId="0" borderId="1" xfId="2" applyNumberFormat="1" applyFont="1" applyFill="1" applyBorder="1"/>
    <xf numFmtId="2" fontId="15" fillId="0" borderId="2" xfId="12" applyNumberFormat="1" applyFont="1" applyBorder="1"/>
    <xf numFmtId="2" fontId="15" fillId="0" borderId="5" xfId="12" applyNumberFormat="1" applyFont="1" applyBorder="1"/>
    <xf numFmtId="0" fontId="34" fillId="0" borderId="1" xfId="2" applyFont="1" applyBorder="1" applyAlignment="1">
      <alignment horizontal="right" wrapText="1"/>
    </xf>
    <xf numFmtId="2" fontId="15" fillId="0" borderId="2" xfId="12" applyNumberFormat="1" applyFont="1" applyFill="1" applyBorder="1"/>
    <xf numFmtId="2" fontId="15" fillId="0" borderId="5" xfId="12" applyNumberFormat="1" applyFont="1" applyFill="1" applyBorder="1"/>
    <xf numFmtId="2" fontId="1" fillId="0" borderId="2" xfId="12" applyNumberFormat="1" applyFont="1" applyBorder="1"/>
    <xf numFmtId="2" fontId="1" fillId="0" borderId="5" xfId="12" applyNumberFormat="1" applyFont="1" applyBorder="1"/>
    <xf numFmtId="2" fontId="15" fillId="2" borderId="2" xfId="12" applyNumberFormat="1" applyFont="1" applyFill="1" applyBorder="1"/>
    <xf numFmtId="0" fontId="1" fillId="4" borderId="1" xfId="6" applyFill="1" applyBorder="1" applyAlignment="1">
      <alignment horizontal="center" vertical="center" wrapText="1"/>
    </xf>
    <xf numFmtId="0" fontId="1" fillId="4" borderId="1" xfId="6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/>
    </xf>
    <xf numFmtId="0" fontId="15" fillId="0" borderId="1" xfId="6" applyFont="1" applyFill="1" applyBorder="1"/>
    <xf numFmtId="2" fontId="15" fillId="0" borderId="5" xfId="6" applyNumberFormat="1" applyFont="1" applyBorder="1"/>
    <xf numFmtId="2" fontId="15" fillId="0" borderId="5" xfId="6" applyNumberFormat="1" applyFont="1" applyFill="1" applyBorder="1"/>
    <xf numFmtId="2" fontId="15" fillId="0" borderId="2" xfId="6" applyNumberFormat="1" applyFont="1" applyFill="1" applyBorder="1"/>
    <xf numFmtId="2" fontId="15" fillId="0" borderId="2" xfId="6" applyNumberFormat="1" applyFont="1" applyBorder="1"/>
    <xf numFmtId="0" fontId="15" fillId="0" borderId="14" xfId="6" applyFont="1" applyFill="1" applyBorder="1" applyAlignment="1">
      <alignment horizontal="center"/>
    </xf>
    <xf numFmtId="0" fontId="15" fillId="0" borderId="16" xfId="6" applyFont="1" applyFill="1" applyBorder="1"/>
    <xf numFmtId="0" fontId="15" fillId="0" borderId="14" xfId="6" applyFont="1" applyBorder="1" applyAlignment="1">
      <alignment horizontal="center"/>
    </xf>
    <xf numFmtId="0" fontId="15" fillId="0" borderId="16" xfId="6" applyFont="1" applyBorder="1"/>
    <xf numFmtId="0" fontId="1" fillId="0" borderId="0" xfId="6" applyFont="1"/>
    <xf numFmtId="0" fontId="3" fillId="0" borderId="0" xfId="6" applyFont="1"/>
    <xf numFmtId="2" fontId="13" fillId="0" borderId="0" xfId="6" applyNumberFormat="1" applyFont="1"/>
    <xf numFmtId="2" fontId="13" fillId="0" borderId="0" xfId="6" applyNumberFormat="1" applyFont="1" applyFill="1"/>
    <xf numFmtId="0" fontId="13" fillId="0" borderId="1" xfId="6" applyFont="1" applyBorder="1"/>
    <xf numFmtId="0" fontId="3" fillId="0" borderId="1" xfId="6" applyFont="1" applyBorder="1"/>
    <xf numFmtId="2" fontId="3" fillId="0" borderId="1" xfId="6" applyNumberFormat="1" applyFont="1" applyBorder="1"/>
    <xf numFmtId="2" fontId="3" fillId="0" borderId="1" xfId="6" applyNumberFormat="1" applyFont="1" applyFill="1" applyBorder="1"/>
    <xf numFmtId="0" fontId="3" fillId="4" borderId="10" xfId="2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center" wrapText="1"/>
    </xf>
    <xf numFmtId="0" fontId="15" fillId="0" borderId="7" xfId="2" applyFont="1" applyBorder="1" applyAlignment="1">
      <alignment wrapText="1"/>
    </xf>
    <xf numFmtId="2" fontId="15" fillId="0" borderId="16" xfId="0" applyNumberFormat="1" applyFont="1" applyFill="1" applyBorder="1"/>
    <xf numFmtId="0" fontId="1" fillId="0" borderId="12" xfId="2" applyFont="1" applyFill="1" applyBorder="1" applyAlignment="1">
      <alignment wrapText="1"/>
    </xf>
    <xf numFmtId="2" fontId="1" fillId="0" borderId="16" xfId="0" applyNumberFormat="1" applyFont="1" applyFill="1" applyBorder="1"/>
    <xf numFmtId="2" fontId="15" fillId="0" borderId="1" xfId="0" applyNumberFormat="1" applyFont="1" applyBorder="1"/>
    <xf numFmtId="2" fontId="15" fillId="0" borderId="9" xfId="2" applyNumberFormat="1" applyFont="1" applyFill="1" applyBorder="1" applyAlignment="1">
      <alignment wrapText="1"/>
    </xf>
    <xf numFmtId="0" fontId="15" fillId="0" borderId="2" xfId="2" applyFont="1" applyFill="1" applyBorder="1" applyAlignment="1">
      <alignment horizontal="center" wrapText="1"/>
    </xf>
    <xf numFmtId="0" fontId="15" fillId="0" borderId="12" xfId="2" applyFont="1" applyFill="1" applyBorder="1" applyAlignment="1">
      <alignment wrapText="1"/>
    </xf>
    <xf numFmtId="2" fontId="15" fillId="0" borderId="3" xfId="2" applyNumberFormat="1" applyFont="1" applyFill="1" applyBorder="1" applyAlignment="1">
      <alignment wrapText="1"/>
    </xf>
    <xf numFmtId="2" fontId="15" fillId="0" borderId="11" xfId="2" applyNumberFormat="1" applyFont="1" applyFill="1" applyBorder="1" applyAlignment="1">
      <alignment wrapText="1"/>
    </xf>
    <xf numFmtId="2" fontId="15" fillId="0" borderId="16" xfId="0" applyNumberFormat="1" applyFont="1" applyBorder="1"/>
    <xf numFmtId="0" fontId="15" fillId="0" borderId="5" xfId="2" applyFont="1" applyFill="1" applyBorder="1" applyAlignment="1">
      <alignment horizontal="center" wrapText="1"/>
    </xf>
    <xf numFmtId="0" fontId="15" fillId="0" borderId="5" xfId="2" applyFont="1" applyBorder="1" applyAlignment="1">
      <alignment horizontal="center" wrapText="1"/>
    </xf>
    <xf numFmtId="2" fontId="3" fillId="0" borderId="16" xfId="0" applyNumberFormat="1" applyFont="1" applyBorder="1"/>
    <xf numFmtId="2" fontId="3" fillId="0" borderId="10" xfId="2" applyNumberFormat="1" applyFont="1" applyBorder="1" applyAlignment="1">
      <alignment wrapText="1"/>
    </xf>
    <xf numFmtId="2" fontId="3" fillId="0" borderId="3" xfId="2" applyNumberFormat="1" applyFont="1" applyBorder="1" applyAlignment="1">
      <alignment wrapText="1"/>
    </xf>
    <xf numFmtId="2" fontId="3" fillId="0" borderId="11" xfId="2" applyNumberFormat="1" applyFont="1" applyBorder="1" applyAlignment="1">
      <alignment wrapText="1"/>
    </xf>
    <xf numFmtId="0" fontId="15" fillId="0" borderId="3" xfId="2" applyFont="1" applyFill="1" applyBorder="1" applyAlignment="1">
      <alignment horizontal="center" wrapText="1"/>
    </xf>
    <xf numFmtId="0" fontId="15" fillId="0" borderId="7" xfId="2" applyFont="1" applyFill="1" applyBorder="1" applyAlignment="1">
      <alignment wrapText="1"/>
    </xf>
    <xf numFmtId="0" fontId="45" fillId="0" borderId="1" xfId="13" applyBorder="1"/>
    <xf numFmtId="2" fontId="45" fillId="0" borderId="1" xfId="14" applyNumberFormat="1" applyBorder="1"/>
    <xf numFmtId="2" fontId="45" fillId="0" borderId="1" xfId="15" applyNumberFormat="1" applyBorder="1"/>
    <xf numFmtId="0" fontId="3" fillId="0" borderId="9" xfId="2" applyFont="1" applyBorder="1" applyAlignment="1">
      <alignment wrapText="1"/>
    </xf>
    <xf numFmtId="1" fontId="15" fillId="0" borderId="1" xfId="2" applyNumberFormat="1" applyFont="1" applyBorder="1" applyAlignment="1">
      <alignment wrapText="1"/>
    </xf>
    <xf numFmtId="2" fontId="11" fillId="0" borderId="0" xfId="2" applyNumberFormat="1" applyFont="1"/>
    <xf numFmtId="1" fontId="11" fillId="0" borderId="0" xfId="2" applyNumberFormat="1" applyFont="1"/>
    <xf numFmtId="2" fontId="11" fillId="0" borderId="19" xfId="2" applyNumberFormat="1" applyFont="1" applyBorder="1"/>
    <xf numFmtId="0" fontId="3" fillId="0" borderId="1" xfId="2" applyFont="1" applyBorder="1" applyAlignment="1">
      <alignment wrapText="1"/>
    </xf>
    <xf numFmtId="0" fontId="34" fillId="3" borderId="1" xfId="2" applyFont="1" applyFill="1" applyBorder="1" applyAlignment="1">
      <alignment horizontal="center" wrapText="1"/>
    </xf>
    <xf numFmtId="0" fontId="33" fillId="3" borderId="1" xfId="2" applyFont="1" applyFill="1" applyBorder="1"/>
    <xf numFmtId="2" fontId="33" fillId="3" borderId="1" xfId="2" applyNumberFormat="1" applyFont="1" applyFill="1" applyBorder="1"/>
    <xf numFmtId="0" fontId="33" fillId="0" borderId="1" xfId="2" applyFont="1" applyBorder="1" applyAlignment="1"/>
    <xf numFmtId="2" fontId="33" fillId="0" borderId="1" xfId="2" applyNumberFormat="1" applyFont="1" applyBorder="1" applyAlignment="1"/>
    <xf numFmtId="165" fontId="33" fillId="3" borderId="1" xfId="2" applyNumberFormat="1" applyFont="1" applyFill="1" applyBorder="1" applyAlignment="1"/>
    <xf numFmtId="2" fontId="3" fillId="0" borderId="1" xfId="2" applyNumberFormat="1" applyFont="1" applyBorder="1" applyAlignment="1">
      <alignment wrapText="1"/>
    </xf>
    <xf numFmtId="2" fontId="3" fillId="3" borderId="1" xfId="2" applyNumberFormat="1" applyFont="1" applyFill="1" applyBorder="1" applyAlignment="1">
      <alignment wrapText="1"/>
    </xf>
    <xf numFmtId="2" fontId="35" fillId="0" borderId="1" xfId="2" applyNumberFormat="1" applyFont="1" applyBorder="1" applyAlignment="1">
      <alignment wrapText="1"/>
    </xf>
    <xf numFmtId="0" fontId="34" fillId="0" borderId="1" xfId="2" applyFont="1" applyBorder="1" applyAlignment="1">
      <alignment wrapText="1"/>
    </xf>
    <xf numFmtId="0" fontId="114" fillId="0" borderId="1" xfId="2" applyFont="1" applyFill="1" applyBorder="1" applyAlignment="1">
      <alignment horizontal="center" wrapText="1"/>
    </xf>
    <xf numFmtId="0" fontId="114" fillId="0" borderId="1" xfId="2" applyFont="1" applyFill="1" applyBorder="1" applyAlignment="1">
      <alignment wrapText="1"/>
    </xf>
    <xf numFmtId="2" fontId="35" fillId="0" borderId="1" xfId="0" applyNumberFormat="1" applyFont="1" applyBorder="1" applyAlignment="1">
      <alignment wrapText="1"/>
    </xf>
    <xf numFmtId="2" fontId="35" fillId="0" borderId="1" xfId="0" applyNumberFormat="1" applyFont="1" applyBorder="1"/>
    <xf numFmtId="0" fontId="35" fillId="0" borderId="2" xfId="2" applyFont="1" applyBorder="1" applyAlignment="1">
      <alignment wrapText="1"/>
    </xf>
    <xf numFmtId="0" fontId="33" fillId="0" borderId="2" xfId="2" applyFont="1" applyBorder="1" applyAlignment="1">
      <alignment wrapText="1"/>
    </xf>
    <xf numFmtId="2" fontId="33" fillId="0" borderId="2" xfId="2" applyNumberFormat="1" applyFont="1" applyBorder="1" applyAlignment="1">
      <alignment wrapText="1"/>
    </xf>
    <xf numFmtId="2" fontId="33" fillId="0" borderId="1" xfId="0" applyNumberFormat="1" applyFont="1" applyBorder="1"/>
    <xf numFmtId="2" fontId="35" fillId="0" borderId="2" xfId="2" applyNumberFormat="1" applyFont="1" applyBorder="1" applyAlignment="1">
      <alignment wrapText="1"/>
    </xf>
    <xf numFmtId="2" fontId="115" fillId="0" borderId="4" xfId="2" applyNumberFormat="1" applyFont="1" applyBorder="1" applyAlignment="1">
      <alignment wrapText="1"/>
    </xf>
    <xf numFmtId="0" fontId="47" fillId="4" borderId="4" xfId="2" applyFont="1" applyFill="1" applyBorder="1" applyAlignment="1">
      <alignment horizontal="center" vertical="center" wrapText="1"/>
    </xf>
    <xf numFmtId="0" fontId="106" fillId="0" borderId="2" xfId="2" applyFont="1" applyBorder="1" applyAlignment="1">
      <alignment wrapText="1"/>
    </xf>
    <xf numFmtId="0" fontId="106" fillId="0" borderId="2" xfId="2" applyFont="1" applyBorder="1" applyAlignment="1">
      <alignment horizontal="center" wrapText="1"/>
    </xf>
    <xf numFmtId="0" fontId="106" fillId="0" borderId="2" xfId="2" applyFont="1" applyFill="1" applyBorder="1" applyAlignment="1">
      <alignment horizontal="center" wrapText="1"/>
    </xf>
    <xf numFmtId="0" fontId="48" fillId="0" borderId="2" xfId="2" applyFont="1" applyBorder="1" applyAlignment="1">
      <alignment horizontal="center" wrapText="1"/>
    </xf>
    <xf numFmtId="0" fontId="48" fillId="0" borderId="2" xfId="2" applyFont="1" applyBorder="1" applyAlignment="1">
      <alignment wrapText="1"/>
    </xf>
    <xf numFmtId="1" fontId="48" fillId="0" borderId="2" xfId="2" applyNumberFormat="1" applyFont="1" applyBorder="1" applyAlignment="1">
      <alignment wrapText="1"/>
    </xf>
    <xf numFmtId="2" fontId="48" fillId="0" borderId="3" xfId="2" applyNumberFormat="1" applyFont="1" applyBorder="1" applyAlignment="1">
      <alignment wrapText="1"/>
    </xf>
    <xf numFmtId="2" fontId="48" fillId="0" borderId="2" xfId="2" applyNumberFormat="1" applyFont="1" applyBorder="1" applyAlignment="1">
      <alignment wrapText="1"/>
    </xf>
    <xf numFmtId="1" fontId="49" fillId="0" borderId="2" xfId="2" applyNumberFormat="1" applyFont="1" applyBorder="1" applyAlignment="1">
      <alignment wrapText="1"/>
    </xf>
    <xf numFmtId="2" fontId="48" fillId="0" borderId="4" xfId="2" applyNumberFormat="1" applyFont="1" applyBorder="1" applyAlignment="1">
      <alignment wrapText="1"/>
    </xf>
    <xf numFmtId="2" fontId="48" fillId="0" borderId="5" xfId="2" applyNumberFormat="1" applyFont="1" applyBorder="1" applyAlignment="1">
      <alignment wrapText="1"/>
    </xf>
    <xf numFmtId="2" fontId="48" fillId="0" borderId="1" xfId="2" applyNumberFormat="1" applyFont="1" applyBorder="1" applyAlignment="1">
      <alignment wrapText="1"/>
    </xf>
    <xf numFmtId="2" fontId="48" fillId="0" borderId="11" xfId="2" applyNumberFormat="1" applyFont="1" applyBorder="1" applyAlignment="1">
      <alignment wrapText="1"/>
    </xf>
    <xf numFmtId="0" fontId="16" fillId="4" borderId="10" xfId="2" applyFont="1" applyFill="1" applyBorder="1" applyAlignment="1">
      <alignment horizontal="center" vertical="center" wrapText="1"/>
    </xf>
    <xf numFmtId="0" fontId="110" fillId="0" borderId="1" xfId="0" applyFont="1" applyFill="1" applyBorder="1"/>
    <xf numFmtId="0" fontId="1" fillId="0" borderId="4" xfId="2" applyFont="1" applyBorder="1" applyAlignment="1">
      <alignment wrapText="1"/>
    </xf>
    <xf numFmtId="2" fontId="1" fillId="0" borderId="4" xfId="2" applyNumberFormat="1" applyFont="1" applyBorder="1" applyAlignment="1">
      <alignment wrapText="1"/>
    </xf>
    <xf numFmtId="2" fontId="15" fillId="0" borderId="4" xfId="2" applyNumberFormat="1" applyFont="1" applyBorder="1" applyAlignment="1">
      <alignment wrapText="1"/>
    </xf>
    <xf numFmtId="0" fontId="1" fillId="0" borderId="4" xfId="2" applyFont="1" applyBorder="1" applyAlignment="1">
      <alignment horizontal="center" wrapText="1"/>
    </xf>
    <xf numFmtId="0" fontId="1" fillId="0" borderId="6" xfId="2" applyFont="1" applyBorder="1" applyAlignment="1">
      <alignment wrapText="1"/>
    </xf>
    <xf numFmtId="0" fontId="1" fillId="0" borderId="13" xfId="2" applyFont="1" applyBorder="1" applyAlignment="1">
      <alignment wrapText="1"/>
    </xf>
    <xf numFmtId="2" fontId="1" fillId="0" borderId="13" xfId="2" applyNumberFormat="1" applyFont="1" applyBorder="1" applyAlignment="1">
      <alignment wrapText="1"/>
    </xf>
    <xf numFmtId="2" fontId="1" fillId="0" borderId="4" xfId="2" applyNumberFormat="1" applyFont="1" applyBorder="1" applyAlignment="1">
      <alignment horizontal="right" wrapText="1"/>
    </xf>
    <xf numFmtId="2" fontId="15" fillId="0" borderId="1" xfId="2" applyNumberFormat="1" applyFont="1" applyBorder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0" borderId="1" xfId="2" applyFont="1" applyBorder="1" applyAlignment="1">
      <alignment wrapText="1"/>
    </xf>
    <xf numFmtId="2" fontId="1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right" wrapText="1"/>
    </xf>
    <xf numFmtId="2" fontId="1" fillId="0" borderId="12" xfId="2" applyNumberFormat="1" applyFont="1" applyBorder="1" applyAlignment="1">
      <alignment wrapText="1"/>
    </xf>
    <xf numFmtId="2" fontId="3" fillId="0" borderId="5" xfId="2" applyNumberFormat="1" applyFont="1" applyBorder="1" applyAlignment="1">
      <alignment wrapText="1"/>
    </xf>
    <xf numFmtId="2" fontId="16" fillId="0" borderId="1" xfId="2" applyNumberFormat="1" applyFont="1" applyBorder="1" applyAlignment="1">
      <alignment wrapText="1"/>
    </xf>
    <xf numFmtId="2" fontId="16" fillId="0" borderId="3" xfId="2" applyNumberFormat="1" applyFont="1" applyBorder="1" applyAlignment="1">
      <alignment wrapText="1"/>
    </xf>
    <xf numFmtId="0" fontId="1" fillId="0" borderId="9" xfId="2" applyFont="1" applyBorder="1" applyAlignment="1">
      <alignment wrapText="1"/>
    </xf>
    <xf numFmtId="1" fontId="1" fillId="0" borderId="19" xfId="2" applyNumberFormat="1" applyFont="1" applyBorder="1"/>
    <xf numFmtId="2" fontId="1" fillId="3" borderId="9" xfId="2" applyNumberFormat="1" applyFont="1" applyFill="1" applyBorder="1" applyAlignment="1">
      <alignment wrapText="1"/>
    </xf>
    <xf numFmtId="2" fontId="1" fillId="3" borderId="3" xfId="2" applyNumberFormat="1" applyFont="1" applyFill="1" applyBorder="1" applyAlignment="1">
      <alignment wrapText="1"/>
    </xf>
    <xf numFmtId="0" fontId="1" fillId="0" borderId="11" xfId="2" applyFont="1" applyBorder="1" applyAlignment="1">
      <alignment horizontal="center" wrapText="1"/>
    </xf>
    <xf numFmtId="2" fontId="1" fillId="3" borderId="1" xfId="2" applyNumberFormat="1" applyFont="1" applyFill="1" applyBorder="1" applyAlignment="1">
      <alignment wrapText="1"/>
    </xf>
    <xf numFmtId="0" fontId="110" fillId="0" borderId="2" xfId="2" applyFont="1" applyFill="1" applyBorder="1" applyAlignment="1">
      <alignment horizontal="center" wrapText="1"/>
    </xf>
    <xf numFmtId="0" fontId="110" fillId="0" borderId="11" xfId="2" applyFont="1" applyFill="1" applyBorder="1" applyAlignment="1">
      <alignment horizontal="center" wrapText="1"/>
    </xf>
    <xf numFmtId="2" fontId="3" fillId="3" borderId="9" xfId="2" applyNumberFormat="1" applyFont="1" applyFill="1" applyBorder="1" applyAlignment="1">
      <alignment wrapText="1"/>
    </xf>
    <xf numFmtId="2" fontId="1" fillId="3" borderId="11" xfId="2" applyNumberFormat="1" applyFont="1" applyFill="1" applyBorder="1" applyAlignment="1">
      <alignment wrapText="1"/>
    </xf>
    <xf numFmtId="0" fontId="3" fillId="0" borderId="3" xfId="2" applyFont="1" applyBorder="1" applyAlignment="1">
      <alignment horizontal="center" wrapText="1"/>
    </xf>
    <xf numFmtId="0" fontId="68" fillId="0" borderId="1" xfId="0" applyFont="1" applyBorder="1" applyAlignment="1" applyProtection="1">
      <alignment horizontal="center"/>
      <protection locked="0"/>
    </xf>
    <xf numFmtId="0" fontId="68" fillId="0" borderId="1" xfId="2" applyFont="1" applyBorder="1"/>
    <xf numFmtId="1" fontId="68" fillId="0" borderId="1" xfId="0" applyNumberFormat="1" applyFont="1" applyBorder="1"/>
    <xf numFmtId="2" fontId="68" fillId="0" borderId="1" xfId="0" applyNumberFormat="1" applyFont="1" applyBorder="1"/>
    <xf numFmtId="1" fontId="68" fillId="0" borderId="1" xfId="0" applyNumberFormat="1" applyFont="1" applyBorder="1" applyProtection="1">
      <protection locked="0"/>
    </xf>
    <xf numFmtId="2" fontId="68" fillId="0" borderId="1" xfId="0" applyNumberFormat="1" applyFont="1" applyBorder="1" applyProtection="1">
      <protection locked="0"/>
    </xf>
    <xf numFmtId="1" fontId="66" fillId="0" borderId="1" xfId="0" applyNumberFormat="1" applyFont="1" applyBorder="1" applyProtection="1">
      <protection locked="0"/>
    </xf>
    <xf numFmtId="2" fontId="66" fillId="0" borderId="1" xfId="0" applyNumberFormat="1" applyFont="1" applyBorder="1" applyProtection="1">
      <protection locked="0"/>
    </xf>
    <xf numFmtId="0" fontId="68" fillId="0" borderId="1" xfId="0" applyFont="1" applyBorder="1" applyAlignment="1">
      <alignment horizontal="center"/>
    </xf>
    <xf numFmtId="0" fontId="66" fillId="0" borderId="1" xfId="0" applyFont="1" applyBorder="1" applyAlignment="1" applyProtection="1">
      <alignment horizontal="center"/>
      <protection locked="0"/>
    </xf>
    <xf numFmtId="0" fontId="66" fillId="0" borderId="1" xfId="0" applyFont="1" applyBorder="1" applyAlignment="1">
      <alignment horizontal="center"/>
    </xf>
    <xf numFmtId="1" fontId="66" fillId="0" borderId="1" xfId="0" applyNumberFormat="1" applyFont="1" applyBorder="1"/>
    <xf numFmtId="2" fontId="66" fillId="0" borderId="1" xfId="0" applyNumberFormat="1" applyFont="1" applyBorder="1"/>
    <xf numFmtId="2" fontId="66" fillId="0" borderId="1" xfId="0" applyNumberFormat="1" applyFont="1" applyBorder="1" applyAlignment="1">
      <alignment horizontal="right"/>
    </xf>
    <xf numFmtId="1" fontId="62" fillId="0" borderId="2" xfId="0" applyNumberFormat="1" applyFont="1" applyBorder="1" applyProtection="1">
      <protection locked="0"/>
    </xf>
    <xf numFmtId="2" fontId="62" fillId="0" borderId="2" xfId="0" applyNumberFormat="1" applyFont="1" applyBorder="1" applyProtection="1">
      <protection locked="0"/>
    </xf>
    <xf numFmtId="2" fontId="62" fillId="0" borderId="2" xfId="0" applyNumberFormat="1" applyFont="1" applyBorder="1"/>
    <xf numFmtId="1" fontId="62" fillId="0" borderId="2" xfId="0" applyNumberFormat="1" applyFont="1" applyBorder="1"/>
    <xf numFmtId="0" fontId="63" fillId="0" borderId="2" xfId="0" applyFont="1" applyBorder="1" applyAlignment="1">
      <alignment horizontal="center"/>
    </xf>
    <xf numFmtId="1" fontId="63" fillId="0" borderId="2" xfId="0" applyNumberFormat="1" applyFont="1" applyBorder="1"/>
    <xf numFmtId="2" fontId="63" fillId="0" borderId="2" xfId="0" applyNumberFormat="1" applyFont="1" applyBorder="1"/>
    <xf numFmtId="1" fontId="62" fillId="0" borderId="11" xfId="0" applyNumberFormat="1" applyFont="1" applyBorder="1" applyProtection="1">
      <protection locked="0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2" fontId="55" fillId="0" borderId="1" xfId="0" applyNumberFormat="1" applyFont="1" applyBorder="1" applyAlignment="1">
      <alignment horizontal="right"/>
    </xf>
    <xf numFmtId="2" fontId="55" fillId="0" borderId="1" xfId="0" applyNumberFormat="1" applyFont="1" applyBorder="1"/>
    <xf numFmtId="2" fontId="23" fillId="0" borderId="1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0" fontId="0" fillId="0" borderId="2" xfId="0" applyFont="1" applyBorder="1" applyAlignment="1">
      <alignment horizontal="center"/>
    </xf>
    <xf numFmtId="1" fontId="0" fillId="0" borderId="2" xfId="0" applyNumberFormat="1" applyFont="1" applyBorder="1" applyProtection="1">
      <protection locked="0"/>
    </xf>
    <xf numFmtId="2" fontId="0" fillId="0" borderId="2" xfId="0" applyNumberFormat="1" applyFont="1" applyBorder="1" applyProtection="1">
      <protection locked="0"/>
    </xf>
    <xf numFmtId="0" fontId="15" fillId="0" borderId="2" xfId="0" applyFont="1" applyBorder="1" applyAlignment="1">
      <alignment horizontal="center"/>
    </xf>
    <xf numFmtId="1" fontId="15" fillId="0" borderId="2" xfId="0" applyNumberFormat="1" applyFont="1" applyBorder="1" applyProtection="1">
      <protection locked="0"/>
    </xf>
    <xf numFmtId="2" fontId="15" fillId="0" borderId="2" xfId="0" applyNumberFormat="1" applyFont="1" applyBorder="1" applyProtection="1">
      <protection locked="0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/>
    <xf numFmtId="2" fontId="16" fillId="0" borderId="2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2" fontId="0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right"/>
    </xf>
    <xf numFmtId="2" fontId="62" fillId="0" borderId="2" xfId="0" applyNumberFormat="1" applyFont="1" applyBorder="1" applyAlignment="1">
      <alignment horizontal="center"/>
    </xf>
    <xf numFmtId="2" fontId="62" fillId="0" borderId="2" xfId="0" applyNumberFormat="1" applyFont="1" applyBorder="1" applyAlignment="1">
      <alignment horizontal="right"/>
    </xf>
    <xf numFmtId="0" fontId="23" fillId="0" borderId="5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right" wrapText="1"/>
    </xf>
    <xf numFmtId="0" fontId="15" fillId="0" borderId="9" xfId="0" applyFont="1" applyBorder="1" applyAlignment="1">
      <alignment horizontal="right" wrapText="1"/>
    </xf>
    <xf numFmtId="2" fontId="15" fillId="0" borderId="9" xfId="0" applyNumberFormat="1" applyFont="1" applyBorder="1" applyAlignment="1">
      <alignment horizontal="right" wrapText="1"/>
    </xf>
    <xf numFmtId="0" fontId="15" fillId="0" borderId="24" xfId="0" applyFont="1" applyBorder="1" applyAlignment="1">
      <alignment horizontal="right" wrapText="1"/>
    </xf>
    <xf numFmtId="2" fontId="15" fillId="0" borderId="7" xfId="0" applyNumberFormat="1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0" fontId="16" fillId="0" borderId="9" xfId="0" applyFont="1" applyBorder="1" applyAlignment="1">
      <alignment horizontal="right" wrapText="1"/>
    </xf>
    <xf numFmtId="2" fontId="16" fillId="0" borderId="9" xfId="0" applyNumberFormat="1" applyFont="1" applyBorder="1" applyAlignment="1">
      <alignment horizontal="right" wrapText="1"/>
    </xf>
    <xf numFmtId="0" fontId="16" fillId="0" borderId="24" xfId="0" applyFont="1" applyBorder="1" applyAlignment="1">
      <alignment horizontal="right" wrapText="1"/>
    </xf>
    <xf numFmtId="2" fontId="16" fillId="0" borderId="7" xfId="0" applyNumberFormat="1" applyFont="1" applyBorder="1" applyAlignment="1">
      <alignment horizontal="right" wrapText="1"/>
    </xf>
    <xf numFmtId="0" fontId="15" fillId="0" borderId="10" xfId="0" applyFont="1" applyBorder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2" fontId="15" fillId="0" borderId="19" xfId="0" applyNumberFormat="1" applyFont="1" applyBorder="1" applyAlignment="1">
      <alignment horizontal="right" wrapText="1"/>
    </xf>
    <xf numFmtId="0" fontId="15" fillId="0" borderId="26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2" fontId="16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/>
    <xf numFmtId="0" fontId="117" fillId="0" borderId="1" xfId="0" applyFont="1" applyBorder="1"/>
    <xf numFmtId="2" fontId="117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0" fillId="0" borderId="1" xfId="0" applyFont="1" applyBorder="1"/>
    <xf numFmtId="0" fontId="50" fillId="0" borderId="1" xfId="0" applyFont="1" applyBorder="1" applyAlignment="1">
      <alignment horizontal="center"/>
    </xf>
    <xf numFmtId="0" fontId="13" fillId="0" borderId="1" xfId="0" applyFont="1" applyBorder="1"/>
    <xf numFmtId="2" fontId="13" fillId="0" borderId="1" xfId="0" applyNumberFormat="1" applyFont="1" applyBorder="1"/>
    <xf numFmtId="0" fontId="33" fillId="0" borderId="17" xfId="2" applyFont="1" applyBorder="1" applyAlignment="1">
      <alignment horizontal="center"/>
    </xf>
    <xf numFmtId="0" fontId="33" fillId="0" borderId="17" xfId="2" applyFont="1" applyBorder="1"/>
    <xf numFmtId="0" fontId="35" fillId="0" borderId="1" xfId="2" applyFont="1" applyBorder="1" applyAlignment="1">
      <alignment horizontal="center"/>
    </xf>
    <xf numFmtId="0" fontId="1" fillId="0" borderId="0" xfId="0" applyFont="1" applyBorder="1"/>
    <xf numFmtId="0" fontId="33" fillId="0" borderId="13" xfId="2" applyFont="1" applyBorder="1"/>
    <xf numFmtId="2" fontId="35" fillId="0" borderId="1" xfId="2" applyNumberFormat="1" applyFont="1" applyBorder="1" applyAlignment="1">
      <alignment horizontal="right"/>
    </xf>
    <xf numFmtId="0" fontId="33" fillId="0" borderId="14" xfId="2" applyFont="1" applyBorder="1" applyAlignment="1">
      <alignment horizontal="center"/>
    </xf>
    <xf numFmtId="0" fontId="33" fillId="0" borderId="16" xfId="2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35" fillId="0" borderId="1" xfId="2" applyNumberFormat="1" applyFont="1" applyBorder="1" applyAlignment="1">
      <alignment horizontal="center"/>
    </xf>
    <xf numFmtId="0" fontId="35" fillId="0" borderId="1" xfId="2" applyNumberFormat="1" applyFont="1" applyBorder="1" applyAlignment="1">
      <alignment horizontal="center"/>
    </xf>
    <xf numFmtId="0" fontId="35" fillId="0" borderId="1" xfId="2" applyNumberFormat="1" applyFont="1" applyBorder="1"/>
    <xf numFmtId="0" fontId="35" fillId="0" borderId="11" xfId="2" applyNumberFormat="1" applyFont="1" applyBorder="1" applyAlignment="1">
      <alignment horizontal="center" wrapText="1"/>
    </xf>
    <xf numFmtId="0" fontId="35" fillId="0" borderId="2" xfId="2" applyNumberFormat="1" applyFont="1" applyBorder="1" applyAlignment="1">
      <alignment horizontal="right" wrapText="1"/>
    </xf>
    <xf numFmtId="0" fontId="35" fillId="0" borderId="11" xfId="2" applyNumberFormat="1" applyFont="1" applyBorder="1" applyAlignment="1">
      <alignment horizontal="right" wrapText="1"/>
    </xf>
    <xf numFmtId="0" fontId="3" fillId="0" borderId="0" xfId="0" applyFont="1"/>
    <xf numFmtId="2" fontId="0" fillId="0" borderId="0" xfId="0" applyNumberFormat="1" applyFont="1" applyBorder="1"/>
    <xf numFmtId="0" fontId="3" fillId="0" borderId="3" xfId="0" applyFont="1" applyBorder="1" applyAlignment="1">
      <alignment horizontal="right" wrapText="1"/>
    </xf>
    <xf numFmtId="0" fontId="0" fillId="0" borderId="9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4" fontId="0" fillId="0" borderId="1" xfId="3" applyNumberFormat="1" applyFont="1" applyBorder="1" applyAlignment="1">
      <alignment horizontal="right" wrapText="1"/>
    </xf>
    <xf numFmtId="0" fontId="52" fillId="0" borderId="1" xfId="2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wrapText="1"/>
    </xf>
    <xf numFmtId="0" fontId="33" fillId="0" borderId="9" xfId="2" applyFont="1" applyBorder="1" applyAlignment="1">
      <alignment horizontal="center" wrapText="1"/>
    </xf>
    <xf numFmtId="0" fontId="33" fillId="0" borderId="3" xfId="2" applyFont="1" applyBorder="1" applyAlignment="1">
      <alignment horizontal="right" wrapText="1"/>
    </xf>
    <xf numFmtId="2" fontId="33" fillId="0" borderId="9" xfId="2" applyNumberFormat="1" applyFont="1" applyBorder="1" applyAlignment="1">
      <alignment horizontal="right" wrapText="1"/>
    </xf>
    <xf numFmtId="0" fontId="33" fillId="0" borderId="9" xfId="2" applyFont="1" applyBorder="1" applyAlignment="1">
      <alignment horizontal="right" wrapText="1"/>
    </xf>
    <xf numFmtId="0" fontId="33" fillId="0" borderId="11" xfId="2" applyFont="1" applyBorder="1" applyAlignment="1">
      <alignment horizontal="right" wrapText="1"/>
    </xf>
    <xf numFmtId="1" fontId="33" fillId="0" borderId="3" xfId="2" applyNumberFormat="1" applyFont="1" applyBorder="1" applyAlignment="1">
      <alignment horizontal="right" wrapText="1"/>
    </xf>
    <xf numFmtId="0" fontId="34" fillId="0" borderId="2" xfId="2" applyFont="1" applyBorder="1" applyAlignment="1">
      <alignment horizontal="center" wrapText="1"/>
    </xf>
    <xf numFmtId="0" fontId="34" fillId="0" borderId="11" xfId="2" applyFont="1" applyBorder="1" applyAlignment="1">
      <alignment horizontal="center" wrapText="1"/>
    </xf>
    <xf numFmtId="0" fontId="33" fillId="0" borderId="2" xfId="2" applyFont="1" applyBorder="1" applyAlignment="1">
      <alignment horizontal="right" wrapText="1"/>
    </xf>
    <xf numFmtId="2" fontId="33" fillId="0" borderId="11" xfId="2" applyNumberFormat="1" applyFont="1" applyBorder="1" applyAlignment="1">
      <alignment horizontal="right" wrapText="1"/>
    </xf>
    <xf numFmtId="0" fontId="33" fillId="0" borderId="2" xfId="2" applyFont="1" applyBorder="1" applyAlignment="1">
      <alignment horizontal="center" wrapText="1"/>
    </xf>
    <xf numFmtId="0" fontId="33" fillId="0" borderId="11" xfId="2" applyFont="1" applyBorder="1" applyAlignment="1">
      <alignment horizontal="center" wrapText="1"/>
    </xf>
    <xf numFmtId="1" fontId="33" fillId="0" borderId="11" xfId="2" applyNumberFormat="1" applyFont="1" applyBorder="1" applyAlignment="1">
      <alignment horizontal="right" wrapText="1"/>
    </xf>
    <xf numFmtId="0" fontId="36" fillId="0" borderId="1" xfId="2" applyFont="1" applyBorder="1"/>
    <xf numFmtId="0" fontId="34" fillId="0" borderId="5" xfId="2" applyFont="1" applyBorder="1" applyAlignment="1">
      <alignment horizontal="center" wrapText="1"/>
    </xf>
    <xf numFmtId="0" fontId="3" fillId="0" borderId="3" xfId="2" applyFont="1" applyBorder="1" applyAlignment="1">
      <alignment horizontal="right" wrapText="1"/>
    </xf>
    <xf numFmtId="2" fontId="3" fillId="0" borderId="3" xfId="2" applyNumberFormat="1" applyFont="1" applyBorder="1" applyAlignment="1">
      <alignment horizontal="right" wrapText="1"/>
    </xf>
    <xf numFmtId="0" fontId="34" fillId="0" borderId="3" xfId="2" applyFont="1" applyBorder="1" applyAlignment="1">
      <alignment horizontal="center" wrapText="1"/>
    </xf>
    <xf numFmtId="0" fontId="34" fillId="0" borderId="9" xfId="2" applyFont="1" applyBorder="1" applyAlignment="1">
      <alignment horizontal="center" wrapText="1"/>
    </xf>
    <xf numFmtId="1" fontId="33" fillId="0" borderId="9" xfId="2" applyNumberFormat="1" applyFont="1" applyBorder="1" applyAlignment="1">
      <alignment horizontal="right" wrapText="1"/>
    </xf>
    <xf numFmtId="0" fontId="3" fillId="0" borderId="10" xfId="2" applyFont="1" applyBorder="1" applyAlignment="1">
      <alignment horizontal="right" wrapText="1"/>
    </xf>
    <xf numFmtId="2" fontId="3" fillId="0" borderId="10" xfId="2" applyNumberFormat="1" applyFont="1" applyBorder="1" applyAlignment="1">
      <alignment horizontal="right" wrapText="1"/>
    </xf>
    <xf numFmtId="1" fontId="1" fillId="0" borderId="1" xfId="0" applyNumberFormat="1" applyFont="1" applyBorder="1"/>
    <xf numFmtId="2" fontId="33" fillId="0" borderId="2" xfId="2" applyNumberFormat="1" applyFont="1" applyBorder="1" applyAlignment="1">
      <alignment horizontal="right" wrapText="1"/>
    </xf>
    <xf numFmtId="0" fontId="37" fillId="0" borderId="1" xfId="2" applyFont="1" applyBorder="1"/>
    <xf numFmtId="2" fontId="37" fillId="0" borderId="1" xfId="2" applyNumberFormat="1" applyFont="1" applyBorder="1"/>
    <xf numFmtId="0" fontId="33" fillId="0" borderId="5" xfId="2" applyFont="1" applyBorder="1" applyAlignment="1">
      <alignment horizontal="center" wrapText="1"/>
    </xf>
    <xf numFmtId="2" fontId="33" fillId="0" borderId="3" xfId="2" applyNumberFormat="1" applyFont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2" fontId="15" fillId="0" borderId="23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2" fontId="57" fillId="0" borderId="9" xfId="0" applyNumberFormat="1" applyFont="1" applyBorder="1" applyAlignment="1">
      <alignment horizontal="right" wrapText="1"/>
    </xf>
    <xf numFmtId="2" fontId="15" fillId="0" borderId="0" xfId="0" applyNumberFormat="1" applyFont="1" applyBorder="1" applyAlignment="1">
      <alignment horizontal="right" wrapText="1"/>
    </xf>
    <xf numFmtId="2" fontId="3" fillId="0" borderId="9" xfId="0" applyNumberFormat="1" applyFont="1" applyBorder="1" applyAlignment="1">
      <alignment horizontal="right" wrapText="1"/>
    </xf>
    <xf numFmtId="2" fontId="3" fillId="0" borderId="23" xfId="0" applyNumberFormat="1" applyFont="1" applyBorder="1" applyAlignment="1">
      <alignment horizontal="right" wrapText="1"/>
    </xf>
    <xf numFmtId="0" fontId="0" fillId="0" borderId="10" xfId="0" applyFont="1" applyBorder="1" applyAlignment="1">
      <alignment horizontal="right" wrapText="1"/>
    </xf>
    <xf numFmtId="0" fontId="0" fillId="0" borderId="19" xfId="0" applyFont="1" applyBorder="1" applyAlignment="1">
      <alignment horizontal="right" wrapText="1"/>
    </xf>
    <xf numFmtId="2" fontId="15" fillId="0" borderId="1" xfId="0" applyNumberFormat="1" applyFont="1" applyBorder="1" applyAlignment="1">
      <alignment horizontal="right" wrapText="1"/>
    </xf>
    <xf numFmtId="2" fontId="15" fillId="0" borderId="25" xfId="0" applyNumberFormat="1" applyFont="1" applyBorder="1" applyAlignment="1">
      <alignment horizontal="right" wrapText="1"/>
    </xf>
    <xf numFmtId="2" fontId="3" fillId="0" borderId="19" xfId="0" applyNumberFormat="1" applyFont="1" applyBorder="1" applyAlignment="1">
      <alignment horizontal="right" wrapText="1"/>
    </xf>
    <xf numFmtId="0" fontId="62" fillId="0" borderId="2" xfId="0" applyFont="1" applyBorder="1"/>
    <xf numFmtId="0" fontId="62" fillId="0" borderId="0" xfId="0" applyFont="1" applyBorder="1"/>
    <xf numFmtId="2" fontId="62" fillId="0" borderId="0" xfId="0" applyNumberFormat="1" applyFont="1" applyBorder="1"/>
    <xf numFmtId="0" fontId="63" fillId="0" borderId="1" xfId="0" applyFont="1" applyBorder="1"/>
    <xf numFmtId="2" fontId="63" fillId="0" borderId="1" xfId="0" applyNumberFormat="1" applyFont="1" applyBorder="1"/>
    <xf numFmtId="0" fontId="63" fillId="0" borderId="0" xfId="0" applyFont="1"/>
    <xf numFmtId="1" fontId="63" fillId="0" borderId="1" xfId="0" applyNumberFormat="1" applyFont="1" applyBorder="1"/>
    <xf numFmtId="0" fontId="62" fillId="0" borderId="16" xfId="0" applyFont="1" applyBorder="1" applyAlignment="1">
      <alignment horizontal="right"/>
    </xf>
    <xf numFmtId="2" fontId="62" fillId="0" borderId="16" xfId="0" applyNumberFormat="1" applyFont="1" applyBorder="1" applyAlignment="1">
      <alignment horizontal="right"/>
    </xf>
    <xf numFmtId="0" fontId="70" fillId="0" borderId="1" xfId="0" applyFont="1" applyBorder="1"/>
    <xf numFmtId="2" fontId="90" fillId="3" borderId="1" xfId="0" applyNumberFormat="1" applyFont="1" applyFill="1" applyBorder="1" applyAlignment="1">
      <alignment horizontal="right"/>
    </xf>
    <xf numFmtId="0" fontId="90" fillId="3" borderId="2" xfId="0" applyFont="1" applyFill="1" applyBorder="1"/>
    <xf numFmtId="0" fontId="90" fillId="3" borderId="1" xfId="5" applyFont="1" applyFill="1" applyBorder="1"/>
    <xf numFmtId="2" fontId="90" fillId="3" borderId="1" xfId="5" applyNumberFormat="1" applyFont="1" applyFill="1" applyBorder="1"/>
    <xf numFmtId="2" fontId="92" fillId="3" borderId="1" xfId="0" applyNumberFormat="1" applyFont="1" applyFill="1" applyBorder="1"/>
    <xf numFmtId="0" fontId="29" fillId="0" borderId="1" xfId="16" applyFont="1" applyBorder="1" applyAlignment="1">
      <alignment horizontal="center"/>
    </xf>
    <xf numFmtId="0" fontId="29" fillId="0" borderId="1" xfId="16" applyFont="1" applyBorder="1" applyAlignment="1">
      <alignment horizontal="right"/>
    </xf>
    <xf numFmtId="0" fontId="30" fillId="0" borderId="1" xfId="16" applyFont="1" applyBorder="1" applyAlignment="1">
      <alignment horizontal="center"/>
    </xf>
    <xf numFmtId="0" fontId="30" fillId="0" borderId="1" xfId="16" applyFont="1" applyFill="1" applyBorder="1"/>
    <xf numFmtId="0" fontId="30" fillId="0" borderId="1" xfId="16" applyFont="1" applyBorder="1"/>
    <xf numFmtId="0" fontId="16" fillId="0" borderId="0" xfId="2" applyFont="1" applyFill="1" applyBorder="1" applyAlignment="1">
      <alignment horizontal="center"/>
    </xf>
    <xf numFmtId="2" fontId="15" fillId="0" borderId="0" xfId="2" applyNumberFormat="1" applyFont="1" applyBorder="1"/>
    <xf numFmtId="1" fontId="16" fillId="0" borderId="0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/>
    </xf>
    <xf numFmtId="2" fontId="3" fillId="0" borderId="13" xfId="2" applyNumberFormat="1" applyFont="1" applyBorder="1"/>
    <xf numFmtId="0" fontId="3" fillId="0" borderId="18" xfId="2" applyFont="1" applyBorder="1" applyAlignment="1">
      <alignment horizontal="center"/>
    </xf>
    <xf numFmtId="0" fontId="3" fillId="0" borderId="18" xfId="2" applyFont="1" applyFill="1" applyBorder="1" applyAlignment="1">
      <alignment horizontal="center"/>
    </xf>
    <xf numFmtId="2" fontId="3" fillId="0" borderId="18" xfId="2" applyNumberFormat="1" applyFont="1" applyBorder="1"/>
    <xf numFmtId="2" fontId="3" fillId="0" borderId="18" xfId="2" applyNumberFormat="1" applyFont="1" applyFill="1" applyBorder="1"/>
    <xf numFmtId="0" fontId="113" fillId="0" borderId="0" xfId="2" applyFont="1" applyFill="1" applyBorder="1" applyAlignment="1">
      <alignment horizontal="center"/>
    </xf>
    <xf numFmtId="0" fontId="113" fillId="0" borderId="0" xfId="2" applyFont="1" applyFill="1" applyBorder="1" applyAlignment="1">
      <alignment horizontal="right"/>
    </xf>
    <xf numFmtId="2" fontId="113" fillId="0" borderId="0" xfId="2" applyNumberFormat="1" applyFont="1" applyFill="1" applyBorder="1"/>
    <xf numFmtId="1" fontId="1" fillId="0" borderId="1" xfId="2" applyNumberFormat="1" applyFont="1" applyBorder="1" applyAlignment="1">
      <alignment horizontal="center"/>
    </xf>
    <xf numFmtId="1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/>
    <xf numFmtId="2" fontId="107" fillId="3" borderId="1" xfId="2" applyNumberFormat="1" applyFont="1" applyFill="1" applyBorder="1" applyAlignment="1">
      <alignment horizontal="right"/>
    </xf>
    <xf numFmtId="0" fontId="11" fillId="0" borderId="15" xfId="2" applyFont="1" applyBorder="1"/>
    <xf numFmtId="0" fontId="11" fillId="0" borderId="16" xfId="2" applyFont="1" applyBorder="1"/>
    <xf numFmtId="0" fontId="5" fillId="0" borderId="17" xfId="2" applyFont="1" applyBorder="1" applyAlignment="1">
      <alignment horizontal="right" wrapText="1"/>
    </xf>
    <xf numFmtId="0" fontId="30" fillId="0" borderId="1" xfId="0" applyFont="1" applyFill="1" applyBorder="1"/>
    <xf numFmtId="0" fontId="27" fillId="0" borderId="2" xfId="0" applyFont="1" applyBorder="1" applyAlignment="1">
      <alignment horizontal="center"/>
    </xf>
    <xf numFmtId="0" fontId="55" fillId="0" borderId="2" xfId="0" applyNumberFormat="1" applyFont="1" applyBorder="1" applyAlignment="1">
      <alignment horizontal="center"/>
    </xf>
    <xf numFmtId="16" fontId="55" fillId="0" borderId="2" xfId="0" applyNumberFormat="1" applyFont="1" applyBorder="1" applyAlignment="1">
      <alignment horizontal="center"/>
    </xf>
    <xf numFmtId="0" fontId="55" fillId="0" borderId="8" xfId="0" applyNumberFormat="1" applyFont="1" applyBorder="1" applyAlignment="1">
      <alignment horizontal="center"/>
    </xf>
    <xf numFmtId="0" fontId="53" fillId="0" borderId="1" xfId="2" applyFont="1" applyBorder="1" applyAlignment="1">
      <alignment horizontal="center"/>
    </xf>
    <xf numFmtId="0" fontId="55" fillId="0" borderId="1" xfId="16" applyNumberFormat="1" applyFont="1" applyBorder="1" applyAlignment="1">
      <alignment horizontal="center"/>
    </xf>
    <xf numFmtId="0" fontId="55" fillId="0" borderId="1" xfId="0" applyNumberFormat="1" applyFont="1" applyFill="1" applyBorder="1" applyAlignment="1">
      <alignment horizontal="center"/>
    </xf>
    <xf numFmtId="0" fontId="60" fillId="0" borderId="0" xfId="0" applyFont="1" applyBorder="1" applyAlignment="1"/>
    <xf numFmtId="0" fontId="3" fillId="0" borderId="1" xfId="2" applyFont="1" applyFill="1" applyBorder="1" applyAlignment="1">
      <alignment horizontal="center"/>
    </xf>
    <xf numFmtId="2" fontId="16" fillId="0" borderId="1" xfId="2" applyNumberFormat="1" applyFont="1" applyFill="1" applyBorder="1"/>
    <xf numFmtId="2" fontId="5" fillId="0" borderId="17" xfId="2" applyNumberFormat="1" applyFont="1" applyBorder="1" applyAlignment="1">
      <alignment horizontal="right" wrapText="1"/>
    </xf>
    <xf numFmtId="1" fontId="90" fillId="0" borderId="1" xfId="0" applyNumberFormat="1" applyFont="1" applyBorder="1" applyAlignment="1"/>
    <xf numFmtId="1" fontId="92" fillId="3" borderId="1" xfId="0" applyNumberFormat="1" applyFont="1" applyFill="1" applyBorder="1"/>
    <xf numFmtId="1" fontId="90" fillId="0" borderId="1" xfId="0" applyNumberFormat="1" applyFont="1" applyFill="1" applyBorder="1"/>
    <xf numFmtId="2" fontId="1" fillId="0" borderId="1" xfId="2" applyNumberFormat="1" applyFont="1" applyFill="1" applyBorder="1" applyAlignment="1">
      <alignment horizontal="center"/>
    </xf>
    <xf numFmtId="1" fontId="90" fillId="3" borderId="1" xfId="0" applyNumberFormat="1" applyFont="1" applyFill="1" applyBorder="1"/>
    <xf numFmtId="0" fontId="91" fillId="0" borderId="20" xfId="0" applyFont="1" applyBorder="1" applyAlignment="1"/>
    <xf numFmtId="2" fontId="90" fillId="0" borderId="1" xfId="0" applyNumberFormat="1" applyFont="1" applyBorder="1" applyAlignment="1"/>
    <xf numFmtId="2" fontId="93" fillId="3" borderId="0" xfId="0" applyNumberFormat="1" applyFont="1" applyFill="1"/>
    <xf numFmtId="0" fontId="107" fillId="0" borderId="0" xfId="16" applyFont="1" applyAlignment="1">
      <alignment horizontal="center" vertical="top"/>
    </xf>
    <xf numFmtId="0" fontId="60" fillId="0" borderId="0" xfId="0" applyFont="1" applyAlignment="1">
      <alignment horizontal="center"/>
    </xf>
    <xf numFmtId="0" fontId="74" fillId="0" borderId="0" xfId="0" applyFont="1" applyBorder="1" applyAlignment="1">
      <alignment horizontal="center" vertical="center"/>
    </xf>
    <xf numFmtId="0" fontId="75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6" fillId="8" borderId="13" xfId="0" applyFont="1" applyFill="1" applyBorder="1" applyAlignment="1">
      <alignment horizontal="center" vertical="center" wrapText="1"/>
    </xf>
    <xf numFmtId="0" fontId="76" fillId="8" borderId="17" xfId="0" applyFont="1" applyFill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9" fillId="10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6" fillId="0" borderId="0" xfId="2" applyFont="1" applyAlignment="1">
      <alignment horizontal="center"/>
    </xf>
    <xf numFmtId="0" fontId="20" fillId="0" borderId="0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82" fillId="0" borderId="0" xfId="9" applyFont="1" applyAlignment="1">
      <alignment horizontal="center"/>
    </xf>
    <xf numFmtId="0" fontId="85" fillId="0" borderId="13" xfId="9" applyFont="1" applyBorder="1" applyAlignment="1">
      <alignment horizontal="center" wrapText="1"/>
    </xf>
    <xf numFmtId="0" fontId="85" fillId="0" borderId="17" xfId="9" applyFont="1" applyBorder="1" applyAlignment="1">
      <alignment horizontal="center" wrapText="1"/>
    </xf>
    <xf numFmtId="0" fontId="85" fillId="0" borderId="14" xfId="9" applyFont="1" applyBorder="1" applyAlignment="1">
      <alignment horizontal="center" wrapText="1"/>
    </xf>
    <xf numFmtId="0" fontId="85" fillId="0" borderId="15" xfId="9" applyFont="1" applyBorder="1" applyAlignment="1">
      <alignment horizontal="center" wrapText="1"/>
    </xf>
    <xf numFmtId="0" fontId="83" fillId="0" borderId="0" xfId="9" applyFont="1" applyAlignment="1">
      <alignment horizontal="center"/>
    </xf>
    <xf numFmtId="0" fontId="7" fillId="0" borderId="0" xfId="10" applyFont="1" applyAlignment="1">
      <alignment horizontal="center"/>
    </xf>
    <xf numFmtId="0" fontId="23" fillId="0" borderId="18" xfId="10" applyFont="1" applyBorder="1" applyAlignment="1">
      <alignment horizontal="center"/>
    </xf>
    <xf numFmtId="0" fontId="31" fillId="0" borderId="0" xfId="10" applyFont="1" applyAlignment="1">
      <alignment horizontal="center"/>
    </xf>
    <xf numFmtId="0" fontId="1" fillId="0" borderId="0" xfId="10" applyAlignment="1">
      <alignment horizontal="center"/>
    </xf>
    <xf numFmtId="0" fontId="1" fillId="0" borderId="0" xfId="10" applyFont="1" applyAlignment="1">
      <alignment horizontal="center"/>
    </xf>
    <xf numFmtId="0" fontId="3" fillId="0" borderId="14" xfId="2" applyFont="1" applyFill="1" applyBorder="1" applyAlignment="1">
      <alignment horizontal="center"/>
    </xf>
    <xf numFmtId="0" fontId="3" fillId="0" borderId="16" xfId="2" applyFont="1" applyFill="1" applyBorder="1" applyAlignment="1">
      <alignment horizontal="center"/>
    </xf>
    <xf numFmtId="0" fontId="30" fillId="0" borderId="14" xfId="2" applyFont="1" applyBorder="1" applyAlignment="1">
      <alignment horizontal="center"/>
    </xf>
    <xf numFmtId="0" fontId="30" fillId="0" borderId="16" xfId="2" applyFont="1" applyBorder="1" applyAlignment="1">
      <alignment horizontal="center"/>
    </xf>
    <xf numFmtId="0" fontId="118" fillId="0" borderId="29" xfId="2" applyFont="1" applyFill="1" applyBorder="1" applyAlignment="1">
      <alignment horizontal="center"/>
    </xf>
    <xf numFmtId="0" fontId="112" fillId="0" borderId="0" xfId="2" applyFont="1" applyFill="1" applyBorder="1" applyAlignment="1">
      <alignment horizontal="center"/>
    </xf>
    <xf numFmtId="1" fontId="118" fillId="0" borderId="0" xfId="2" applyNumberFormat="1" applyFont="1" applyBorder="1" applyAlignment="1">
      <alignment horizontal="center"/>
    </xf>
    <xf numFmtId="0" fontId="118" fillId="0" borderId="0" xfId="2" applyFont="1" applyBorder="1" applyAlignment="1">
      <alignment horizontal="center"/>
    </xf>
    <xf numFmtId="0" fontId="107" fillId="0" borderId="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07" fillId="0" borderId="0" xfId="2" applyFont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2" fontId="1" fillId="0" borderId="1" xfId="2" applyNumberFormat="1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0" fillId="0" borderId="0" xfId="11" applyFont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3" fillId="0" borderId="34" xfId="2" applyFont="1" applyBorder="1" applyAlignment="1">
      <alignment horizontal="center"/>
    </xf>
    <xf numFmtId="0" fontId="3" fillId="0" borderId="35" xfId="2" applyFont="1" applyBorder="1" applyAlignment="1">
      <alignment horizontal="center"/>
    </xf>
    <xf numFmtId="0" fontId="8" fillId="0" borderId="20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/>
    </xf>
    <xf numFmtId="0" fontId="5" fillId="4" borderId="16" xfId="2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31" fillId="0" borderId="0" xfId="12" applyFont="1" applyAlignment="1">
      <alignment horizontal="center"/>
    </xf>
    <xf numFmtId="0" fontId="27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35" fillId="0" borderId="1" xfId="2" applyFont="1" applyBorder="1" applyAlignment="1">
      <alignment horizontal="left" wrapText="1"/>
    </xf>
    <xf numFmtId="0" fontId="5" fillId="0" borderId="15" xfId="2" applyFont="1" applyBorder="1" applyAlignment="1">
      <alignment wrapText="1"/>
    </xf>
    <xf numFmtId="0" fontId="1" fillId="0" borderId="18" xfId="2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16" xfId="6" applyFont="1" applyBorder="1" applyAlignment="1">
      <alignment horizontal="center"/>
    </xf>
    <xf numFmtId="0" fontId="31" fillId="0" borderId="0" xfId="6" applyFont="1" applyAlignment="1">
      <alignment horizontal="center"/>
    </xf>
    <xf numFmtId="0" fontId="39" fillId="0" borderId="0" xfId="6" applyFont="1" applyAlignment="1">
      <alignment horizontal="center"/>
    </xf>
    <xf numFmtId="0" fontId="5" fillId="0" borderId="33" xfId="2" applyFont="1" applyBorder="1" applyAlignment="1">
      <alignment wrapText="1"/>
    </xf>
    <xf numFmtId="0" fontId="5" fillId="0" borderId="21" xfId="2" applyFont="1" applyBorder="1" applyAlignment="1">
      <alignment wrapText="1"/>
    </xf>
    <xf numFmtId="0" fontId="31" fillId="0" borderId="0" xfId="0" applyFont="1" applyAlignment="1">
      <alignment horizontal="center"/>
    </xf>
    <xf numFmtId="0" fontId="39" fillId="0" borderId="0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0" fontId="3" fillId="0" borderId="5" xfId="2" applyFont="1" applyBorder="1" applyAlignment="1">
      <alignment wrapText="1"/>
    </xf>
    <xf numFmtId="0" fontId="3" fillId="0" borderId="12" xfId="2" applyFont="1" applyBorder="1" applyAlignment="1">
      <alignment wrapText="1"/>
    </xf>
    <xf numFmtId="0" fontId="35" fillId="0" borderId="1" xfId="2" applyFont="1" applyBorder="1" applyAlignment="1">
      <alignment horizontal="center" wrapText="1"/>
    </xf>
    <xf numFmtId="0" fontId="41" fillId="0" borderId="0" xfId="2" applyFont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44" fillId="0" borderId="1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7" fillId="0" borderId="20" xfId="2" applyFont="1" applyBorder="1" applyAlignment="1">
      <alignment horizontal="center" vertical="center" wrapText="1"/>
    </xf>
    <xf numFmtId="0" fontId="35" fillId="0" borderId="1" xfId="2" applyFont="1" applyBorder="1" applyAlignment="1">
      <alignment wrapText="1"/>
    </xf>
    <xf numFmtId="0" fontId="35" fillId="0" borderId="5" xfId="2" applyFont="1" applyBorder="1" applyAlignment="1">
      <alignment horizontal="center" wrapText="1"/>
    </xf>
    <xf numFmtId="0" fontId="35" fillId="0" borderId="11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46" fillId="0" borderId="0" xfId="2" applyFont="1" applyFill="1" applyBorder="1" applyAlignment="1">
      <alignment horizontal="center" vertical="center" wrapText="1"/>
    </xf>
    <xf numFmtId="0" fontId="116" fillId="0" borderId="2" xfId="2" applyFont="1" applyFill="1" applyBorder="1" applyAlignment="1">
      <alignment wrapText="1"/>
    </xf>
    <xf numFmtId="0" fontId="48" fillId="0" borderId="5" xfId="2" applyFont="1" applyBorder="1" applyAlignment="1">
      <alignment horizontal="center" wrapText="1"/>
    </xf>
    <xf numFmtId="0" fontId="48" fillId="0" borderId="11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9" fillId="0" borderId="0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" fillId="0" borderId="3" xfId="2" applyFont="1" applyBorder="1" applyAlignment="1">
      <alignment wrapText="1"/>
    </xf>
    <xf numFmtId="0" fontId="3" fillId="0" borderId="2" xfId="2" applyFont="1" applyBorder="1" applyAlignment="1">
      <alignment horizontal="left" wrapText="1"/>
    </xf>
    <xf numFmtId="0" fontId="31" fillId="0" borderId="0" xfId="2" applyFont="1" applyAlignment="1">
      <alignment horizontal="center" wrapText="1"/>
    </xf>
    <xf numFmtId="0" fontId="16" fillId="0" borderId="3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66" fillId="0" borderId="1" xfId="0" applyFont="1" applyBorder="1" applyAlignment="1" applyProtection="1">
      <alignment horizontal="center"/>
      <protection locked="0"/>
    </xf>
    <xf numFmtId="0" fontId="66" fillId="0" borderId="1" xfId="0" applyFont="1" applyBorder="1" applyAlignment="1" applyProtection="1">
      <protection locked="0"/>
    </xf>
    <xf numFmtId="0" fontId="61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/>
    </xf>
    <xf numFmtId="0" fontId="27" fillId="0" borderId="20" xfId="0" applyFont="1" applyBorder="1" applyAlignment="1" applyProtection="1">
      <alignment horizontal="center"/>
    </xf>
    <xf numFmtId="0" fontId="66" fillId="7" borderId="1" xfId="0" applyFont="1" applyFill="1" applyBorder="1" applyAlignment="1" applyProtection="1">
      <alignment horizontal="center" vertical="center"/>
    </xf>
    <xf numFmtId="0" fontId="66" fillId="7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/>
    </xf>
    <xf numFmtId="0" fontId="66" fillId="7" borderId="1" xfId="0" applyFont="1" applyFill="1" applyBorder="1" applyAlignment="1">
      <alignment horizontal="center" vertical="center"/>
    </xf>
    <xf numFmtId="0" fontId="39" fillId="0" borderId="0" xfId="0" applyFont="1" applyBorder="1" applyAlignment="1" applyProtection="1">
      <alignment horizontal="center"/>
      <protection locked="0"/>
    </xf>
    <xf numFmtId="0" fontId="39" fillId="0" borderId="7" xfId="0" applyFont="1" applyBorder="1" applyAlignment="1" applyProtection="1">
      <alignment horizontal="center"/>
      <protection locked="0"/>
    </xf>
    <xf numFmtId="0" fontId="55" fillId="4" borderId="4" xfId="0" applyFont="1" applyFill="1" applyBorder="1" applyAlignment="1" applyProtection="1">
      <alignment horizontal="center" vertical="center"/>
      <protection locked="0"/>
    </xf>
    <xf numFmtId="0" fontId="55" fillId="4" borderId="3" xfId="0" applyFont="1" applyFill="1" applyBorder="1" applyAlignment="1" applyProtection="1">
      <alignment horizontal="center" vertical="center"/>
      <protection locked="0"/>
    </xf>
    <xf numFmtId="0" fontId="55" fillId="4" borderId="5" xfId="0" applyFont="1" applyFill="1" applyBorder="1" applyAlignment="1" applyProtection="1">
      <alignment horizontal="center" wrapText="1"/>
      <protection locked="0"/>
    </xf>
    <xf numFmtId="0" fontId="55" fillId="4" borderId="11" xfId="0" applyFont="1" applyFill="1" applyBorder="1" applyAlignment="1" applyProtection="1">
      <alignment horizontal="center" wrapText="1"/>
      <protection locked="0"/>
    </xf>
    <xf numFmtId="0" fontId="55" fillId="4" borderId="5" xfId="0" applyFont="1" applyFill="1" applyBorder="1" applyAlignment="1">
      <alignment horizontal="center" wrapText="1"/>
    </xf>
    <xf numFmtId="0" fontId="55" fillId="4" borderId="11" xfId="0" applyFont="1" applyFill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64" fillId="0" borderId="0" xfId="0" applyFont="1" applyBorder="1" applyAlignment="1" applyProtection="1">
      <alignment horizontal="center"/>
      <protection locked="0"/>
    </xf>
    <xf numFmtId="0" fontId="39" fillId="0" borderId="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4" borderId="2" xfId="0" applyFont="1" applyFill="1" applyBorder="1" applyAlignment="1" applyProtection="1">
      <alignment horizontal="center" wrapText="1"/>
      <protection locked="0"/>
    </xf>
    <xf numFmtId="0" fontId="0" fillId="4" borderId="3" xfId="0" applyFont="1" applyFill="1" applyBorder="1" applyAlignment="1">
      <alignment horizontal="center" wrapText="1"/>
    </xf>
    <xf numFmtId="0" fontId="0" fillId="4" borderId="3" xfId="0" applyFont="1" applyFill="1" applyBorder="1" applyAlignment="1" applyProtection="1">
      <alignment horizontal="center" wrapText="1"/>
      <protection locked="0"/>
    </xf>
    <xf numFmtId="0" fontId="0" fillId="4" borderId="22" xfId="0" applyFont="1" applyFill="1" applyBorder="1" applyAlignment="1" applyProtection="1">
      <alignment horizontal="center" wrapText="1"/>
      <protection locked="0"/>
    </xf>
    <xf numFmtId="0" fontId="15" fillId="0" borderId="1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63" fillId="0" borderId="5" xfId="0" applyFont="1" applyBorder="1" applyAlignment="1">
      <alignment horizontal="center"/>
    </xf>
    <xf numFmtId="0" fontId="63" fillId="0" borderId="11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2" fillId="0" borderId="1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55" fillId="4" borderId="4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5" fillId="4" borderId="1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55" fillId="0" borderId="20" xfId="0" applyFont="1" applyBorder="1" applyAlignment="1">
      <alignment horizontal="center"/>
    </xf>
    <xf numFmtId="0" fontId="55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/>
    </xf>
    <xf numFmtId="0" fontId="55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5" fillId="0" borderId="14" xfId="2" applyFont="1" applyBorder="1" applyAlignment="1">
      <alignment horizontal="center"/>
    </xf>
    <xf numFmtId="0" fontId="35" fillId="0" borderId="16" xfId="2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51" fillId="0" borderId="0" xfId="2" applyFont="1" applyAlignment="1">
      <alignment horizontal="center"/>
    </xf>
    <xf numFmtId="0" fontId="39" fillId="0" borderId="0" xfId="0" applyNumberFormat="1" applyFont="1" applyAlignment="1">
      <alignment horizontal="center"/>
    </xf>
    <xf numFmtId="0" fontId="53" fillId="4" borderId="1" xfId="2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6" fillId="0" borderId="5" xfId="2" applyFont="1" applyBorder="1" applyAlignment="1">
      <alignment horizontal="center" wrapText="1"/>
    </xf>
    <xf numFmtId="0" fontId="16" fillId="0" borderId="11" xfId="2" applyFont="1" applyBorder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16" fillId="0" borderId="21" xfId="2" applyFont="1" applyBorder="1" applyAlignment="1">
      <alignment horizontal="center" wrapText="1"/>
    </xf>
    <xf numFmtId="0" fontId="35" fillId="4" borderId="1" xfId="2" applyFont="1" applyFill="1" applyBorder="1" applyAlignment="1">
      <alignment horizontal="center" vertical="center" wrapText="1"/>
    </xf>
    <xf numFmtId="0" fontId="39" fillId="0" borderId="0" xfId="2" applyFont="1" applyBorder="1" applyAlignment="1">
      <alignment horizontal="right" wrapText="1"/>
    </xf>
    <xf numFmtId="0" fontId="39" fillId="0" borderId="0" xfId="2" applyFont="1" applyBorder="1" applyAlignment="1">
      <alignment horizontal="left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2" fillId="0" borderId="14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1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104" fillId="0" borderId="1" xfId="0" applyFont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2" fillId="3" borderId="0" xfId="0" applyFont="1" applyFill="1" applyAlignment="1">
      <alignment horizontal="center"/>
    </xf>
    <xf numFmtId="0" fontId="90" fillId="3" borderId="20" xfId="0" applyFont="1" applyFill="1" applyBorder="1" applyAlignment="1">
      <alignment horizontal="center"/>
    </xf>
    <xf numFmtId="0" fontId="93" fillId="3" borderId="20" xfId="0" applyFont="1" applyFill="1" applyBorder="1" applyAlignment="1">
      <alignment horizontal="center"/>
    </xf>
    <xf numFmtId="0" fontId="91" fillId="0" borderId="1" xfId="0" applyFont="1" applyBorder="1" applyAlignment="1">
      <alignment wrapText="1"/>
    </xf>
    <xf numFmtId="0" fontId="91" fillId="0" borderId="1" xfId="0" applyFont="1" applyBorder="1" applyAlignment="1">
      <alignment horizontal="center" wrapText="1"/>
    </xf>
    <xf numFmtId="0" fontId="104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91" fillId="0" borderId="1" xfId="0" applyFont="1" applyBorder="1" applyAlignment="1">
      <alignment horizontal="center"/>
    </xf>
    <xf numFmtId="2" fontId="90" fillId="3" borderId="20" xfId="0" applyNumberFormat="1" applyFont="1" applyFill="1" applyBorder="1" applyAlignment="1">
      <alignment horizontal="left"/>
    </xf>
    <xf numFmtId="2" fontId="90" fillId="3" borderId="2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2" fontId="90" fillId="3" borderId="7" xfId="0" applyNumberFormat="1" applyFont="1" applyFill="1" applyBorder="1" applyAlignment="1">
      <alignment horizontal="left"/>
    </xf>
    <xf numFmtId="0" fontId="91" fillId="0" borderId="2" xfId="0" applyFont="1" applyBorder="1" applyAlignment="1">
      <alignment wrapText="1"/>
    </xf>
    <xf numFmtId="0" fontId="91" fillId="0" borderId="4" xfId="0" applyFont="1" applyBorder="1" applyAlignment="1">
      <alignment horizontal="center" wrapText="1"/>
    </xf>
    <xf numFmtId="0" fontId="91" fillId="0" borderId="3" xfId="0" applyFont="1" applyBorder="1" applyAlignment="1">
      <alignment horizontal="center" wrapText="1"/>
    </xf>
    <xf numFmtId="0" fontId="91" fillId="0" borderId="5" xfId="0" applyFont="1" applyBorder="1" applyAlignment="1">
      <alignment horizontal="center" wrapText="1"/>
    </xf>
    <xf numFmtId="0" fontId="91" fillId="0" borderId="11" xfId="0" applyFont="1" applyBorder="1" applyAlignment="1">
      <alignment horizontal="center" wrapText="1"/>
    </xf>
    <xf numFmtId="0" fontId="91" fillId="0" borderId="5" xfId="0" applyFont="1" applyBorder="1" applyAlignment="1">
      <alignment horizontal="center"/>
    </xf>
    <xf numFmtId="0" fontId="91" fillId="0" borderId="12" xfId="0" applyFont="1" applyBorder="1" applyAlignment="1">
      <alignment horizontal="center"/>
    </xf>
    <xf numFmtId="0" fontId="91" fillId="0" borderId="11" xfId="0" applyFont="1" applyBorder="1" applyAlignment="1">
      <alignment horizontal="center"/>
    </xf>
    <xf numFmtId="0" fontId="91" fillId="0" borderId="0" xfId="0" applyFont="1" applyBorder="1" applyAlignment="1">
      <alignment horizontal="center"/>
    </xf>
    <xf numFmtId="0" fontId="91" fillId="0" borderId="20" xfId="0" applyFont="1" applyFill="1" applyBorder="1" applyAlignment="1">
      <alignment horizontal="left"/>
    </xf>
    <xf numFmtId="0" fontId="91" fillId="0" borderId="20" xfId="0" applyFont="1" applyFill="1" applyBorder="1" applyAlignment="1"/>
    <xf numFmtId="1" fontId="99" fillId="3" borderId="0" xfId="0" applyNumberFormat="1" applyFont="1" applyFill="1" applyBorder="1" applyAlignment="1">
      <alignment horizontal="center"/>
    </xf>
    <xf numFmtId="0" fontId="90" fillId="3" borderId="20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4" borderId="1" xfId="2" applyFont="1" applyFill="1" applyBorder="1" applyAlignment="1">
      <alignment horizontal="center"/>
    </xf>
    <xf numFmtId="2" fontId="1" fillId="0" borderId="1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1" fillId="0" borderId="14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2" fontId="1" fillId="0" borderId="14" xfId="2" applyNumberFormat="1" applyFont="1" applyFill="1" applyBorder="1" applyAlignment="1">
      <alignment horizontal="center" vertical="center"/>
    </xf>
    <xf numFmtId="2" fontId="1" fillId="0" borderId="16" xfId="2" applyNumberFormat="1" applyFont="1" applyFill="1" applyBorder="1" applyAlignment="1">
      <alignment horizontal="center" vertical="center"/>
    </xf>
    <xf numFmtId="0" fontId="30" fillId="0" borderId="14" xfId="2" applyFont="1" applyFill="1" applyBorder="1" applyAlignment="1">
      <alignment horizontal="center"/>
    </xf>
    <xf numFmtId="0" fontId="30" fillId="0" borderId="16" xfId="2" applyFont="1" applyFill="1" applyBorder="1" applyAlignment="1">
      <alignment horizontal="center"/>
    </xf>
    <xf numFmtId="0" fontId="38" fillId="0" borderId="0" xfId="2" applyFont="1" applyAlignment="1">
      <alignment horizontal="center"/>
    </xf>
    <xf numFmtId="0" fontId="38" fillId="0" borderId="18" xfId="2" applyFont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" fillId="0" borderId="5" xfId="2" applyFont="1" applyFill="1" applyBorder="1" applyAlignment="1">
      <alignment wrapText="1"/>
    </xf>
    <xf numFmtId="0" fontId="5" fillId="0" borderId="11" xfId="2" applyFont="1" applyFill="1" applyBorder="1" applyAlignment="1">
      <alignment wrapText="1"/>
    </xf>
    <xf numFmtId="0" fontId="3" fillId="0" borderId="22" xfId="2" applyFont="1" applyFill="1" applyBorder="1" applyAlignment="1">
      <alignment wrapText="1"/>
    </xf>
    <xf numFmtId="0" fontId="3" fillId="0" borderId="9" xfId="2" applyFont="1" applyFill="1" applyBorder="1" applyAlignment="1">
      <alignment wrapText="1"/>
    </xf>
    <xf numFmtId="0" fontId="3" fillId="0" borderId="5" xfId="2" applyFont="1" applyFill="1" applyBorder="1" applyAlignment="1">
      <alignment wrapText="1"/>
    </xf>
    <xf numFmtId="0" fontId="3" fillId="0" borderId="11" xfId="2" applyFont="1" applyFill="1" applyBorder="1" applyAlignment="1">
      <alignment wrapText="1"/>
    </xf>
    <xf numFmtId="0" fontId="35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wrapText="1"/>
    </xf>
    <xf numFmtId="0" fontId="44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5" fillId="0" borderId="1" xfId="2" applyFont="1" applyFill="1" applyBorder="1" applyAlignment="1">
      <alignment wrapText="1"/>
    </xf>
    <xf numFmtId="0" fontId="35" fillId="0" borderId="5" xfId="2" applyFont="1" applyFill="1" applyBorder="1" applyAlignment="1">
      <alignment horizontal="center" wrapText="1"/>
    </xf>
    <xf numFmtId="0" fontId="35" fillId="0" borderId="11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11" xfId="2" applyFont="1" applyFill="1" applyBorder="1" applyAlignment="1">
      <alignment horizontal="center" wrapText="1"/>
    </xf>
    <xf numFmtId="0" fontId="48" fillId="0" borderId="2" xfId="2" applyFont="1" applyFill="1" applyBorder="1" applyAlignment="1">
      <alignment wrapText="1"/>
    </xf>
    <xf numFmtId="0" fontId="48" fillId="0" borderId="5" xfId="2" applyFont="1" applyFill="1" applyBorder="1" applyAlignment="1">
      <alignment horizontal="center" wrapText="1"/>
    </xf>
    <xf numFmtId="0" fontId="48" fillId="0" borderId="11" xfId="2" applyFont="1" applyFill="1" applyBorder="1" applyAlignment="1">
      <alignment horizontal="center" wrapText="1"/>
    </xf>
    <xf numFmtId="0" fontId="3" fillId="0" borderId="2" xfId="2" applyFont="1" applyFill="1" applyBorder="1" applyAlignment="1">
      <alignment wrapText="1"/>
    </xf>
    <xf numFmtId="0" fontId="3" fillId="0" borderId="3" xfId="2" applyFont="1" applyFill="1" applyBorder="1" applyAlignment="1">
      <alignment wrapText="1"/>
    </xf>
    <xf numFmtId="0" fontId="3" fillId="0" borderId="3" xfId="2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left" wrapText="1"/>
    </xf>
    <xf numFmtId="0" fontId="69" fillId="0" borderId="1" xfId="0" applyFont="1" applyFill="1" applyBorder="1" applyAlignment="1" applyProtection="1">
      <alignment horizontal="center"/>
      <protection locked="0"/>
    </xf>
    <xf numFmtId="0" fontId="69" fillId="0" borderId="1" xfId="0" applyFont="1" applyFill="1" applyBorder="1" applyAlignment="1" applyProtection="1">
      <protection locked="0"/>
    </xf>
    <xf numFmtId="0" fontId="63" fillId="0" borderId="5" xfId="0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0" fontId="62" fillId="0" borderId="5" xfId="0" applyFont="1" applyFill="1" applyBorder="1" applyAlignment="1">
      <alignment horizontal="center"/>
    </xf>
    <xf numFmtId="0" fontId="62" fillId="0" borderId="1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33" fillId="0" borderId="14" xfId="2" applyFont="1" applyFill="1" applyBorder="1" applyAlignment="1">
      <alignment horizontal="center"/>
    </xf>
    <xf numFmtId="0" fontId="33" fillId="0" borderId="16" xfId="2" applyFont="1" applyFill="1" applyBorder="1" applyAlignment="1">
      <alignment horizontal="center"/>
    </xf>
    <xf numFmtId="0" fontId="35" fillId="0" borderId="14" xfId="2" applyFont="1" applyFill="1" applyBorder="1" applyAlignment="1">
      <alignment horizontal="center"/>
    </xf>
    <xf numFmtId="0" fontId="35" fillId="0" borderId="16" xfId="2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6" fillId="0" borderId="5" xfId="2" applyFont="1" applyFill="1" applyBorder="1" applyAlignment="1">
      <alignment horizontal="center" wrapText="1"/>
    </xf>
    <xf numFmtId="0" fontId="16" fillId="0" borderId="11" xfId="2" applyFont="1" applyFill="1" applyBorder="1" applyAlignment="1">
      <alignment horizontal="center" wrapText="1"/>
    </xf>
    <xf numFmtId="0" fontId="16" fillId="0" borderId="6" xfId="2" applyFont="1" applyFill="1" applyBorder="1" applyAlignment="1">
      <alignment horizontal="center" wrapText="1"/>
    </xf>
    <xf numFmtId="0" fontId="16" fillId="0" borderId="21" xfId="2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62" fillId="0" borderId="14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protection locked="0"/>
    </xf>
    <xf numFmtId="0" fontId="3" fillId="0" borderId="1" xfId="0" applyFont="1" applyBorder="1" applyAlignment="1"/>
    <xf numFmtId="0" fontId="62" fillId="0" borderId="1" xfId="10" applyFont="1" applyBorder="1" applyAlignment="1">
      <alignment horizontal="right"/>
    </xf>
    <xf numFmtId="166" fontId="62" fillId="0" borderId="1" xfId="2" applyNumberFormat="1" applyFont="1" applyFill="1" applyBorder="1" applyAlignment="1" applyProtection="1">
      <alignment horizontal="right"/>
    </xf>
    <xf numFmtId="2" fontId="23" fillId="0" borderId="1" xfId="2" applyNumberFormat="1" applyFont="1" applyFill="1" applyBorder="1" applyAlignment="1">
      <alignment horizontal="right" vertical="center" wrapText="1"/>
    </xf>
    <xf numFmtId="166" fontId="23" fillId="0" borderId="1" xfId="2" applyNumberFormat="1" applyFont="1" applyFill="1" applyBorder="1" applyAlignment="1">
      <alignment horizontal="right" vertical="center" wrapText="1"/>
    </xf>
    <xf numFmtId="166" fontId="23" fillId="0" borderId="1" xfId="2" applyNumberFormat="1" applyFont="1" applyFill="1" applyBorder="1" applyAlignment="1">
      <alignment horizontal="right" wrapText="1"/>
    </xf>
    <xf numFmtId="166" fontId="23" fillId="0" borderId="1" xfId="2" applyNumberFormat="1" applyFont="1" applyFill="1" applyBorder="1" applyAlignment="1" applyProtection="1">
      <alignment horizontal="right" wrapText="1"/>
    </xf>
    <xf numFmtId="2" fontId="23" fillId="0" borderId="1" xfId="10" applyNumberFormat="1" applyFont="1" applyBorder="1" applyAlignment="1">
      <alignment horizontal="right" vertical="center"/>
    </xf>
    <xf numFmtId="167" fontId="23" fillId="0" borderId="1" xfId="10" applyNumberFormat="1" applyFont="1" applyBorder="1" applyAlignment="1">
      <alignment horizontal="right" vertical="center"/>
    </xf>
  </cellXfs>
  <cellStyles count="17">
    <cellStyle name="Comma" xfId="3" builtinId="3"/>
    <cellStyle name="Excel Built-in Normal" xfId="2"/>
    <cellStyle name="Normal" xfId="0" builtinId="0"/>
    <cellStyle name="Normal 10" xfId="9"/>
    <cellStyle name="Normal 11" xfId="10"/>
    <cellStyle name="Normal 12" xfId="11"/>
    <cellStyle name="Normal 13" xfId="14"/>
    <cellStyle name="Normal 14" xfId="8"/>
    <cellStyle name="Normal 15" xfId="15"/>
    <cellStyle name="Normal 16" xfId="7"/>
    <cellStyle name="Normal 18" xfId="13"/>
    <cellStyle name="Normal 19" xfId="12"/>
    <cellStyle name="Normal 2" xfId="1"/>
    <cellStyle name="Normal 2 10" xfId="5"/>
    <cellStyle name="Normal 21" xfId="6"/>
    <cellStyle name="Normal 3" xfId="16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LBC%20Mar%202018/SLBC_MARCH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bi%20works/SLBC_june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NTENTS"/>
      <sheetName val="population pattern"/>
      <sheetName val="economic indicators"/>
      <sheetName val="Abbr"/>
      <sheetName val="Br Network"/>
      <sheetName val="state achievement"/>
      <sheetName val="Profile"/>
      <sheetName val="DIST CDR"/>
      <sheetName val="BUSINESS"/>
      <sheetName val="Segr of Adv"/>
      <sheetName val="TOTAL PRIORITY"/>
      <sheetName val="CROP"/>
      <sheetName val="AGRI-SUB"/>
      <sheetName val="AGRI"/>
      <sheetName val="INDSTRY"/>
      <sheetName val="SERV"/>
      <sheetName val="PMEGP"/>
      <sheetName val="SHG"/>
      <sheetName val="KCC"/>
      <sheetName val="WCC"/>
      <sheetName val="SJSRY"/>
      <sheetName val="PMEGP-KVIC REC"/>
      <sheetName val="SGSY-SJSRY REC"/>
      <sheetName val="Tea"/>
      <sheetName val="TR-OP"/>
      <sheetName val="Housing"/>
      <sheetName val="Education"/>
      <sheetName val="MSME"/>
      <sheetName val="NOFRILL-GCC"/>
      <sheetName val="Minority"/>
      <sheetName val="Sensitive"/>
      <sheetName val="Bakijai"/>
      <sheetName val="OTS-JRD"/>
      <sheetName val="MUDRA NEW"/>
      <sheetName val="PMSY PMJJBY APY BANKWISE"/>
      <sheetName val="D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As on 31.03.2018   (Rs In Lakhs)</v>
          </cell>
        </row>
      </sheetData>
      <sheetData sheetId="12">
        <row r="5">
          <cell r="D5">
            <v>4.5</v>
          </cell>
        </row>
        <row r="6">
          <cell r="D6">
            <v>1E-4</v>
          </cell>
        </row>
        <row r="7">
          <cell r="D7">
            <v>4.8</v>
          </cell>
        </row>
        <row r="8">
          <cell r="D8">
            <v>517.94000000000005</v>
          </cell>
        </row>
        <row r="9">
          <cell r="D9">
            <v>1E-4</v>
          </cell>
        </row>
        <row r="10">
          <cell r="D10">
            <v>34.35</v>
          </cell>
        </row>
        <row r="11">
          <cell r="D11">
            <v>390.56</v>
          </cell>
        </row>
        <row r="12">
          <cell r="D12">
            <v>0.06</v>
          </cell>
        </row>
        <row r="13">
          <cell r="D13">
            <v>0</v>
          </cell>
        </row>
        <row r="14">
          <cell r="D14">
            <v>65.650000000000006</v>
          </cell>
        </row>
        <row r="16">
          <cell r="D16">
            <v>0</v>
          </cell>
        </row>
        <row r="18">
          <cell r="D18">
            <v>1338.21</v>
          </cell>
        </row>
        <row r="20">
          <cell r="D20">
            <v>170</v>
          </cell>
        </row>
        <row r="21">
          <cell r="D21">
            <v>109.66</v>
          </cell>
        </row>
        <row r="22">
          <cell r="D22">
            <v>257.04000000000002</v>
          </cell>
        </row>
        <row r="23">
          <cell r="D23">
            <v>68.260000000000005</v>
          </cell>
        </row>
        <row r="24">
          <cell r="D24">
            <v>223</v>
          </cell>
        </row>
        <row r="25">
          <cell r="D25">
            <v>1E-4</v>
          </cell>
        </row>
        <row r="29">
          <cell r="D29">
            <v>2405</v>
          </cell>
        </row>
        <row r="30">
          <cell r="D30">
            <v>502.17</v>
          </cell>
        </row>
      </sheetData>
      <sheetData sheetId="13"/>
      <sheetData sheetId="14">
        <row r="13">
          <cell r="J13">
            <v>0</v>
          </cell>
        </row>
        <row r="25">
          <cell r="J25">
            <v>0</v>
          </cell>
          <cell r="L25">
            <v>0</v>
          </cell>
        </row>
        <row r="32">
          <cell r="E32">
            <v>1E-3</v>
          </cell>
          <cell r="F32">
            <v>1E-3</v>
          </cell>
          <cell r="G32">
            <v>0</v>
          </cell>
          <cell r="H32">
            <v>0</v>
          </cell>
          <cell r="J32">
            <v>0</v>
          </cell>
        </row>
      </sheetData>
      <sheetData sheetId="15">
        <row r="13">
          <cell r="J13">
            <v>0</v>
          </cell>
        </row>
        <row r="25">
          <cell r="J25">
            <v>0</v>
          </cell>
          <cell r="L25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</sheetData>
      <sheetData sheetId="16">
        <row r="13">
          <cell r="J13">
            <v>0</v>
          </cell>
        </row>
        <row r="25">
          <cell r="J25">
            <v>0</v>
          </cell>
          <cell r="L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ST CDR"/>
      <sheetName val="CONTENTS"/>
      <sheetName val="Abbr"/>
      <sheetName val="Br Network"/>
      <sheetName val="Profile"/>
      <sheetName val="BUSINESS"/>
      <sheetName val="Segr of Adv"/>
      <sheetName val="TOTAL PRIORITY"/>
      <sheetName val="CROP"/>
      <sheetName val="AGRI-SUB"/>
      <sheetName val="AGRI"/>
      <sheetName val="INDSTRY"/>
      <sheetName val="PMEGP"/>
      <sheetName val="SERV"/>
      <sheetName val="SHG"/>
      <sheetName val="KCC"/>
      <sheetName val="WCC"/>
      <sheetName val="SJSRY"/>
      <sheetName val="PMEGP-KVIC REC"/>
      <sheetName val="SGSY-SJSRY REC"/>
      <sheetName val="Tea"/>
      <sheetName val="TR-OP"/>
      <sheetName val="Housing"/>
      <sheetName val="Education"/>
      <sheetName val="MSME"/>
      <sheetName val="NOFRILL-GCC"/>
      <sheetName val="Minority"/>
      <sheetName val="Sensitive"/>
      <sheetName val="Bakijai"/>
      <sheetName val="OTS-JRD"/>
      <sheetName val="DCC"/>
      <sheetName val="population pattern"/>
      <sheetName val="economic indicators"/>
      <sheetName val="state achievemen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modified"/>
      <sheetName val="PMJJBY PMSBY APY"/>
      <sheetName val="Sheet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J13">
            <v>0</v>
          </cell>
        </row>
        <row r="28">
          <cell r="J28">
            <v>18219.600100000003</v>
          </cell>
        </row>
        <row r="31">
          <cell r="J31">
            <v>26649.680100000005</v>
          </cell>
        </row>
        <row r="33">
          <cell r="J33">
            <v>0</v>
          </cell>
        </row>
        <row r="34">
          <cell r="J34">
            <v>26649.680100000005</v>
          </cell>
        </row>
      </sheetData>
      <sheetData sheetId="8" refreshError="1"/>
      <sheetData sheetId="9" refreshError="1"/>
      <sheetData sheetId="10" refreshError="1">
        <row r="13">
          <cell r="J13">
            <v>0</v>
          </cell>
        </row>
        <row r="32">
          <cell r="E32">
            <v>1E-3</v>
          </cell>
          <cell r="F32">
            <v>1E-3</v>
          </cell>
          <cell r="G32">
            <v>0</v>
          </cell>
          <cell r="H32">
            <v>0</v>
          </cell>
          <cell r="J32">
            <v>0</v>
          </cell>
        </row>
      </sheetData>
      <sheetData sheetId="11" refreshError="1">
        <row r="13">
          <cell r="J13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</sheetData>
      <sheetData sheetId="12" refreshError="1"/>
      <sheetData sheetId="13" refreshError="1">
        <row r="13">
          <cell r="J13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D40" sqref="D40"/>
    </sheetView>
  </sheetViews>
  <sheetFormatPr defaultRowHeight="15"/>
  <cols>
    <col min="1" max="1" width="6.28515625" bestFit="1" customWidth="1"/>
    <col min="2" max="2" width="51.85546875" bestFit="1" customWidth="1"/>
    <col min="3" max="3" width="19.140625" bestFit="1" customWidth="1"/>
  </cols>
  <sheetData>
    <row r="1" spans="1:5" ht="29.25">
      <c r="A1" s="121"/>
      <c r="B1" s="947" t="s">
        <v>137</v>
      </c>
      <c r="C1" s="122"/>
    </row>
    <row r="2" spans="1:5" ht="20.25">
      <c r="A2" s="123" t="s">
        <v>138</v>
      </c>
      <c r="B2" s="124" t="s">
        <v>139</v>
      </c>
      <c r="C2" s="125" t="s">
        <v>140</v>
      </c>
    </row>
    <row r="3" spans="1:5" ht="15.75">
      <c r="A3" s="126">
        <f>ROW(A1)</f>
        <v>1</v>
      </c>
      <c r="B3" s="127" t="s">
        <v>141</v>
      </c>
      <c r="C3" s="1399">
        <v>1</v>
      </c>
      <c r="E3" s="741"/>
    </row>
    <row r="4" spans="1:5" ht="15.75">
      <c r="A4" s="126">
        <f t="shared" ref="A4:A28" si="0">ROW(A2)</f>
        <v>2</v>
      </c>
      <c r="B4" s="128" t="s">
        <v>142</v>
      </c>
      <c r="C4" s="1399">
        <v>2</v>
      </c>
      <c r="E4" s="741"/>
    </row>
    <row r="5" spans="1:5" ht="15.75">
      <c r="A5" s="126">
        <f t="shared" si="0"/>
        <v>3</v>
      </c>
      <c r="B5" s="128" t="s">
        <v>143</v>
      </c>
      <c r="C5" s="1399">
        <v>3</v>
      </c>
      <c r="E5" s="741"/>
    </row>
    <row r="6" spans="1:5" ht="15.75">
      <c r="A6" s="126">
        <f t="shared" si="0"/>
        <v>4</v>
      </c>
      <c r="B6" s="128" t="s">
        <v>144</v>
      </c>
      <c r="C6" s="1399">
        <v>4</v>
      </c>
      <c r="E6" s="741"/>
    </row>
    <row r="7" spans="1:5" ht="15.75">
      <c r="A7" s="126">
        <f t="shared" si="0"/>
        <v>5</v>
      </c>
      <c r="B7" s="128" t="s">
        <v>145</v>
      </c>
      <c r="C7" s="1400">
        <v>5</v>
      </c>
      <c r="E7" s="741"/>
    </row>
    <row r="8" spans="1:5" ht="15.75">
      <c r="A8" s="126">
        <f t="shared" si="0"/>
        <v>6</v>
      </c>
      <c r="B8" s="128" t="s">
        <v>146</v>
      </c>
      <c r="C8" s="1401" t="s">
        <v>593</v>
      </c>
    </row>
    <row r="9" spans="1:5" ht="15.75">
      <c r="A9" s="126">
        <f t="shared" si="0"/>
        <v>7</v>
      </c>
      <c r="B9" s="128" t="s">
        <v>147</v>
      </c>
      <c r="C9" s="1400" t="s">
        <v>594</v>
      </c>
    </row>
    <row r="10" spans="1:5" ht="15.75">
      <c r="A10" s="126">
        <f t="shared" si="0"/>
        <v>8</v>
      </c>
      <c r="B10" s="129" t="s">
        <v>148</v>
      </c>
      <c r="C10" s="1400" t="s">
        <v>622</v>
      </c>
    </row>
    <row r="11" spans="1:5" ht="15.75">
      <c r="A11" s="126">
        <f t="shared" si="0"/>
        <v>9</v>
      </c>
      <c r="B11" s="129" t="s">
        <v>149</v>
      </c>
      <c r="C11" s="1400" t="s">
        <v>623</v>
      </c>
    </row>
    <row r="12" spans="1:5" ht="15.75">
      <c r="A12" s="126">
        <f t="shared" si="0"/>
        <v>10</v>
      </c>
      <c r="B12" s="129" t="s">
        <v>150</v>
      </c>
      <c r="C12" s="1400">
        <v>20</v>
      </c>
    </row>
    <row r="13" spans="1:5" ht="15.75">
      <c r="A13" s="126">
        <f t="shared" si="0"/>
        <v>11</v>
      </c>
      <c r="B13" s="128" t="s">
        <v>151</v>
      </c>
      <c r="C13" s="1400">
        <v>21</v>
      </c>
    </row>
    <row r="14" spans="1:5" ht="15.75">
      <c r="A14" s="126">
        <f t="shared" si="0"/>
        <v>12</v>
      </c>
      <c r="B14" s="128" t="s">
        <v>152</v>
      </c>
      <c r="C14" s="1400">
        <v>22</v>
      </c>
    </row>
    <row r="15" spans="1:5" ht="15.75">
      <c r="A15" s="126">
        <f t="shared" si="0"/>
        <v>13</v>
      </c>
      <c r="B15" s="128" t="s">
        <v>153</v>
      </c>
      <c r="C15" s="1400">
        <v>23</v>
      </c>
    </row>
    <row r="16" spans="1:5" ht="15.75">
      <c r="A16" s="126">
        <f t="shared" si="0"/>
        <v>14</v>
      </c>
      <c r="B16" s="128" t="s">
        <v>154</v>
      </c>
      <c r="C16" s="1400">
        <v>24</v>
      </c>
    </row>
    <row r="17" spans="1:3" ht="15.75">
      <c r="A17" s="126">
        <f t="shared" si="0"/>
        <v>15</v>
      </c>
      <c r="B17" s="128" t="s">
        <v>155</v>
      </c>
      <c r="C17" s="1400">
        <v>25</v>
      </c>
    </row>
    <row r="18" spans="1:3" ht="15.75">
      <c r="A18" s="126">
        <f t="shared" si="0"/>
        <v>16</v>
      </c>
      <c r="B18" s="128" t="s">
        <v>156</v>
      </c>
      <c r="C18" s="1400">
        <v>26</v>
      </c>
    </row>
    <row r="19" spans="1:3" ht="15.75">
      <c r="A19" s="126">
        <f t="shared" si="0"/>
        <v>17</v>
      </c>
      <c r="B19" s="128" t="s">
        <v>157</v>
      </c>
      <c r="C19" s="1400">
        <v>27</v>
      </c>
    </row>
    <row r="20" spans="1:3" ht="15.75">
      <c r="A20" s="126">
        <f t="shared" si="0"/>
        <v>18</v>
      </c>
      <c r="B20" s="128" t="s">
        <v>158</v>
      </c>
      <c r="C20" s="1400">
        <v>28</v>
      </c>
    </row>
    <row r="21" spans="1:3" ht="15.75">
      <c r="A21" s="126">
        <f t="shared" si="0"/>
        <v>19</v>
      </c>
      <c r="B21" s="128" t="s">
        <v>159</v>
      </c>
      <c r="C21" s="1400">
        <v>29</v>
      </c>
    </row>
    <row r="22" spans="1:3" ht="15.75">
      <c r="A22" s="126">
        <f t="shared" si="0"/>
        <v>20</v>
      </c>
      <c r="B22" s="128" t="s">
        <v>160</v>
      </c>
      <c r="C22" s="1400">
        <v>30</v>
      </c>
    </row>
    <row r="23" spans="1:3" ht="15.75">
      <c r="A23" s="126">
        <f t="shared" si="0"/>
        <v>21</v>
      </c>
      <c r="B23" s="128" t="s">
        <v>161</v>
      </c>
      <c r="C23" s="1400">
        <v>31</v>
      </c>
    </row>
    <row r="24" spans="1:3" ht="15.75">
      <c r="A24" s="126">
        <f t="shared" si="0"/>
        <v>22</v>
      </c>
      <c r="B24" s="128" t="s">
        <v>162</v>
      </c>
      <c r="C24" s="1400">
        <v>32</v>
      </c>
    </row>
    <row r="25" spans="1:3" ht="15.75">
      <c r="A25" s="126">
        <f t="shared" si="0"/>
        <v>23</v>
      </c>
      <c r="B25" s="128" t="s">
        <v>163</v>
      </c>
      <c r="C25" s="1400">
        <v>33</v>
      </c>
    </row>
    <row r="26" spans="1:3" ht="15.75">
      <c r="A26" s="126">
        <f t="shared" si="0"/>
        <v>24</v>
      </c>
      <c r="B26" s="128" t="s">
        <v>164</v>
      </c>
      <c r="C26" s="1400">
        <v>34</v>
      </c>
    </row>
    <row r="27" spans="1:3" ht="15.75">
      <c r="A27" s="126">
        <f t="shared" si="0"/>
        <v>25</v>
      </c>
      <c r="B27" s="128" t="s">
        <v>165</v>
      </c>
      <c r="C27" s="1400">
        <v>35</v>
      </c>
    </row>
    <row r="28" spans="1:3" ht="15.75">
      <c r="A28" s="126">
        <f t="shared" si="0"/>
        <v>26</v>
      </c>
      <c r="B28" s="128" t="s">
        <v>166</v>
      </c>
      <c r="C28" s="1400">
        <v>36</v>
      </c>
    </row>
    <row r="29" spans="1:3" ht="15.75">
      <c r="A29" s="126">
        <f>ROW(A28)</f>
        <v>28</v>
      </c>
      <c r="B29" s="128" t="s">
        <v>167</v>
      </c>
      <c r="C29" s="1400">
        <v>37</v>
      </c>
    </row>
    <row r="30" spans="1:3" ht="15.75">
      <c r="A30" s="126">
        <f t="shared" ref="A30:A39" si="1">ROW(A29)</f>
        <v>29</v>
      </c>
      <c r="B30" s="128" t="s">
        <v>168</v>
      </c>
      <c r="C30" s="1400">
        <v>38</v>
      </c>
    </row>
    <row r="31" spans="1:3" ht="15.75">
      <c r="A31" s="126">
        <f t="shared" si="1"/>
        <v>30</v>
      </c>
      <c r="B31" s="128" t="s">
        <v>169</v>
      </c>
      <c r="C31" s="1400">
        <v>39</v>
      </c>
    </row>
    <row r="32" spans="1:3" ht="15.75">
      <c r="A32" s="126">
        <f t="shared" si="1"/>
        <v>31</v>
      </c>
      <c r="B32" s="128" t="s">
        <v>170</v>
      </c>
      <c r="C32" s="1400">
        <v>40</v>
      </c>
    </row>
    <row r="33" spans="1:3" ht="15.75">
      <c r="A33" s="126">
        <f t="shared" si="1"/>
        <v>32</v>
      </c>
      <c r="B33" s="128" t="s">
        <v>171</v>
      </c>
      <c r="C33" s="1400">
        <v>41</v>
      </c>
    </row>
    <row r="34" spans="1:3" ht="15.75">
      <c r="A34" s="126">
        <f t="shared" si="1"/>
        <v>33</v>
      </c>
      <c r="B34" s="128" t="s">
        <v>172</v>
      </c>
      <c r="C34" s="1400">
        <v>42</v>
      </c>
    </row>
    <row r="35" spans="1:3" ht="15.75">
      <c r="A35" s="126">
        <f t="shared" si="1"/>
        <v>34</v>
      </c>
      <c r="B35" s="128" t="s">
        <v>173</v>
      </c>
      <c r="C35" s="1400">
        <v>43</v>
      </c>
    </row>
    <row r="36" spans="1:3" ht="15.75">
      <c r="A36" s="126">
        <f t="shared" si="1"/>
        <v>35</v>
      </c>
      <c r="B36" s="129" t="s">
        <v>174</v>
      </c>
      <c r="C36" s="1400">
        <v>44</v>
      </c>
    </row>
    <row r="37" spans="1:3" ht="15.75">
      <c r="A37" s="126">
        <f t="shared" si="1"/>
        <v>36</v>
      </c>
      <c r="B37" s="129" t="s">
        <v>175</v>
      </c>
      <c r="C37" s="1400" t="s">
        <v>634</v>
      </c>
    </row>
    <row r="38" spans="1:3" ht="15.75">
      <c r="A38" s="126">
        <f t="shared" si="1"/>
        <v>37</v>
      </c>
      <c r="B38" s="130" t="s">
        <v>176</v>
      </c>
      <c r="C38" s="1400">
        <v>51</v>
      </c>
    </row>
    <row r="39" spans="1:3" ht="15.75">
      <c r="A39" s="126">
        <f t="shared" si="1"/>
        <v>38</v>
      </c>
      <c r="B39" s="1020" t="s">
        <v>177</v>
      </c>
      <c r="C39" s="1402">
        <v>52</v>
      </c>
    </row>
  </sheetData>
  <printOptions gridLines="1"/>
  <pageMargins left="0.7" right="0.7" top="0.75" bottom="0.75" header="0.3" footer="0.3"/>
  <pageSetup scale="10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2"/>
  <sheetViews>
    <sheetView topLeftCell="A274" workbookViewId="0">
      <selection activeCell="H284" sqref="H284"/>
    </sheetView>
  </sheetViews>
  <sheetFormatPr defaultRowHeight="15"/>
  <cols>
    <col min="2" max="2" width="10.85546875" bestFit="1" customWidth="1"/>
    <col min="3" max="3" width="20.28515625" bestFit="1" customWidth="1"/>
    <col min="4" max="4" width="11.28515625" bestFit="1" customWidth="1"/>
    <col min="5" max="5" width="10.42578125" bestFit="1" customWidth="1"/>
    <col min="6" max="6" width="11" bestFit="1" customWidth="1"/>
  </cols>
  <sheetData>
    <row r="1" spans="1:6" ht="15.75">
      <c r="A1" s="1461">
        <v>13</v>
      </c>
      <c r="B1" s="1461"/>
      <c r="C1" s="1461"/>
      <c r="D1" s="1461"/>
      <c r="E1" s="1461"/>
      <c r="F1" s="1461"/>
    </row>
    <row r="2" spans="1:6">
      <c r="A2" s="1462" t="s">
        <v>0</v>
      </c>
      <c r="B2" s="1462"/>
      <c r="C2" s="1462"/>
      <c r="D2" s="1462"/>
      <c r="E2" s="1462"/>
      <c r="F2" s="1462"/>
    </row>
    <row r="3" spans="1:6">
      <c r="A3" s="1065"/>
      <c r="B3" s="1463" t="s">
        <v>602</v>
      </c>
      <c r="C3" s="1463"/>
      <c r="D3" s="1463"/>
      <c r="E3" s="1463"/>
      <c r="F3" s="4"/>
    </row>
    <row r="4" spans="1:6">
      <c r="A4" s="3" t="s">
        <v>1</v>
      </c>
      <c r="B4" s="3"/>
      <c r="C4" s="1066" t="s">
        <v>2</v>
      </c>
      <c r="D4" s="2"/>
      <c r="E4" s="6"/>
      <c r="F4" s="5" t="s">
        <v>3</v>
      </c>
    </row>
    <row r="5" spans="1:6" ht="25.5">
      <c r="A5" s="61" t="s">
        <v>4</v>
      </c>
      <c r="B5" s="61" t="s">
        <v>5</v>
      </c>
      <c r="C5" s="61" t="s">
        <v>6</v>
      </c>
      <c r="D5" s="61" t="s">
        <v>7</v>
      </c>
      <c r="E5" s="61" t="s">
        <v>8</v>
      </c>
      <c r="F5" s="61" t="s">
        <v>9</v>
      </c>
    </row>
    <row r="6" spans="1:6">
      <c r="A6" s="25">
        <v>1</v>
      </c>
      <c r="B6" s="26" t="s">
        <v>10</v>
      </c>
      <c r="C6" s="25">
        <v>1</v>
      </c>
      <c r="D6" s="72">
        <v>9163.66</v>
      </c>
      <c r="E6" s="72">
        <v>1962.98</v>
      </c>
      <c r="F6" s="72">
        <v>21.421353476667619</v>
      </c>
    </row>
    <row r="7" spans="1:6">
      <c r="A7" s="25">
        <v>2</v>
      </c>
      <c r="B7" s="178" t="s">
        <v>12</v>
      </c>
      <c r="C7" s="80">
        <v>3</v>
      </c>
      <c r="D7" s="185">
        <v>1236.04</v>
      </c>
      <c r="E7" s="185">
        <v>927.94</v>
      </c>
      <c r="F7" s="185">
        <v>75.073622212873374</v>
      </c>
    </row>
    <row r="8" spans="1:6">
      <c r="A8" s="21"/>
      <c r="B8" s="182" t="s">
        <v>13</v>
      </c>
      <c r="C8" s="183">
        <v>4</v>
      </c>
      <c r="D8" s="184">
        <v>10399.700000000001</v>
      </c>
      <c r="E8" s="184">
        <v>2890.92</v>
      </c>
      <c r="F8" s="184">
        <v>27.798109560852716</v>
      </c>
    </row>
    <row r="9" spans="1:6">
      <c r="A9" s="3" t="s">
        <v>1</v>
      </c>
      <c r="B9" s="3"/>
      <c r="C9" s="1066" t="s">
        <v>14</v>
      </c>
      <c r="D9" s="20"/>
      <c r="E9" s="19"/>
      <c r="F9" s="19"/>
    </row>
    <row r="10" spans="1:6" ht="25.5">
      <c r="A10" s="61" t="s">
        <v>4</v>
      </c>
      <c r="B10" s="61" t="s">
        <v>5</v>
      </c>
      <c r="C10" s="61" t="s">
        <v>6</v>
      </c>
      <c r="D10" s="61" t="s">
        <v>7</v>
      </c>
      <c r="E10" s="61" t="s">
        <v>8</v>
      </c>
      <c r="F10" s="61" t="s">
        <v>9</v>
      </c>
    </row>
    <row r="11" spans="1:6">
      <c r="A11" s="21">
        <v>1</v>
      </c>
      <c r="B11" s="16" t="s">
        <v>10</v>
      </c>
      <c r="C11" s="1028">
        <v>1</v>
      </c>
      <c r="D11" s="742">
        <v>6001.26</v>
      </c>
      <c r="E11" s="742">
        <v>1297.79</v>
      </c>
      <c r="F11" s="742">
        <v>21.625292022008711</v>
      </c>
    </row>
    <row r="12" spans="1:6">
      <c r="A12" s="21"/>
      <c r="B12" s="182" t="s">
        <v>13</v>
      </c>
      <c r="C12" s="183">
        <v>1</v>
      </c>
      <c r="D12" s="184">
        <v>6001.26</v>
      </c>
      <c r="E12" s="184">
        <v>1297.79</v>
      </c>
      <c r="F12" s="184">
        <v>21.625292022008711</v>
      </c>
    </row>
    <row r="13" spans="1:6">
      <c r="A13" s="3" t="s">
        <v>1</v>
      </c>
      <c r="B13" s="3"/>
      <c r="C13" s="1066" t="s">
        <v>15</v>
      </c>
      <c r="D13" s="20"/>
      <c r="E13" s="6"/>
      <c r="F13" s="5"/>
    </row>
    <row r="14" spans="1:6" ht="25.5">
      <c r="A14" s="61" t="s">
        <v>4</v>
      </c>
      <c r="B14" s="61" t="s">
        <v>5</v>
      </c>
      <c r="C14" s="61" t="s">
        <v>6</v>
      </c>
      <c r="D14" s="61" t="s">
        <v>7</v>
      </c>
      <c r="E14" s="61" t="s">
        <v>8</v>
      </c>
      <c r="F14" s="61" t="s">
        <v>9</v>
      </c>
    </row>
    <row r="15" spans="1:6">
      <c r="A15" s="25">
        <v>1</v>
      </c>
      <c r="B15" s="178" t="s">
        <v>10</v>
      </c>
      <c r="C15" s="80">
        <v>2</v>
      </c>
      <c r="D15" s="185">
        <v>23248.639999999999</v>
      </c>
      <c r="E15" s="185">
        <v>11473.63</v>
      </c>
      <c r="F15" s="185">
        <v>49.351833053460325</v>
      </c>
    </row>
    <row r="16" spans="1:6">
      <c r="A16" s="25">
        <v>2</v>
      </c>
      <c r="B16" s="178" t="s">
        <v>12</v>
      </c>
      <c r="C16" s="80">
        <v>1</v>
      </c>
      <c r="D16" s="185">
        <v>1211.6099999999999</v>
      </c>
      <c r="E16" s="185">
        <v>971.9</v>
      </c>
      <c r="F16" s="185">
        <v>80.215580921253547</v>
      </c>
    </row>
    <row r="17" spans="1:6">
      <c r="A17" s="25">
        <v>3</v>
      </c>
      <c r="B17" s="178" t="s">
        <v>16</v>
      </c>
      <c r="C17" s="80">
        <v>3</v>
      </c>
      <c r="D17" s="185">
        <v>9392.9500000000007</v>
      </c>
      <c r="E17" s="185">
        <v>1232.0999999999999</v>
      </c>
      <c r="F17" s="185">
        <v>13.117284772089704</v>
      </c>
    </row>
    <row r="18" spans="1:6">
      <c r="A18" s="25">
        <v>4</v>
      </c>
      <c r="B18" s="26" t="s">
        <v>17</v>
      </c>
      <c r="C18" s="25">
        <v>1</v>
      </c>
      <c r="D18" s="72">
        <v>883.19</v>
      </c>
      <c r="E18" s="72">
        <v>199.38</v>
      </c>
      <c r="F18" s="72">
        <v>22.574983865306443</v>
      </c>
    </row>
    <row r="19" spans="1:6">
      <c r="A19" s="26"/>
      <c r="B19" s="182" t="s">
        <v>13</v>
      </c>
      <c r="C19" s="183">
        <v>7</v>
      </c>
      <c r="D19" s="184">
        <v>34736.39</v>
      </c>
      <c r="E19" s="184">
        <v>13877.009999999998</v>
      </c>
      <c r="F19" s="184">
        <v>39.949488130459144</v>
      </c>
    </row>
    <row r="20" spans="1:6">
      <c r="A20" s="3" t="s">
        <v>1</v>
      </c>
      <c r="B20" s="3"/>
      <c r="C20" s="1066" t="s">
        <v>18</v>
      </c>
      <c r="D20" s="20"/>
      <c r="E20" s="6"/>
      <c r="F20" s="5"/>
    </row>
    <row r="21" spans="1:6" ht="25.5">
      <c r="A21" s="58" t="s">
        <v>4</v>
      </c>
      <c r="B21" s="58" t="s">
        <v>5</v>
      </c>
      <c r="C21" s="58" t="s">
        <v>6</v>
      </c>
      <c r="D21" s="58" t="s">
        <v>7</v>
      </c>
      <c r="E21" s="58" t="s">
        <v>8</v>
      </c>
      <c r="F21" s="58" t="s">
        <v>9</v>
      </c>
    </row>
    <row r="22" spans="1:6">
      <c r="A22" s="8">
        <v>1</v>
      </c>
      <c r="B22" s="9" t="s">
        <v>10</v>
      </c>
      <c r="C22" s="8">
        <v>4</v>
      </c>
      <c r="D22" s="39">
        <v>30000.98</v>
      </c>
      <c r="E22" s="39">
        <v>14878.01</v>
      </c>
      <c r="F22" s="39">
        <v>49.591746669608796</v>
      </c>
    </row>
    <row r="23" spans="1:6">
      <c r="A23" s="8">
        <v>2</v>
      </c>
      <c r="B23" s="9" t="s">
        <v>19</v>
      </c>
      <c r="C23" s="8">
        <v>1</v>
      </c>
      <c r="D23" s="39">
        <v>1115.92</v>
      </c>
      <c r="E23" s="39">
        <v>425.6</v>
      </c>
      <c r="F23" s="39">
        <v>38.138934690658829</v>
      </c>
    </row>
    <row r="24" spans="1:6">
      <c r="A24" s="8">
        <v>3</v>
      </c>
      <c r="B24" s="9" t="s">
        <v>17</v>
      </c>
      <c r="C24" s="8">
        <v>1</v>
      </c>
      <c r="D24" s="39">
        <v>7580.49</v>
      </c>
      <c r="E24" s="39">
        <v>1065.5899999999999</v>
      </c>
      <c r="F24" s="39">
        <v>14.057006868949102</v>
      </c>
    </row>
    <row r="25" spans="1:6">
      <c r="A25" s="8">
        <v>4</v>
      </c>
      <c r="B25" s="74" t="s">
        <v>12</v>
      </c>
      <c r="C25" s="73">
        <v>2</v>
      </c>
      <c r="D25" s="40">
        <v>2618.04</v>
      </c>
      <c r="E25" s="40">
        <v>1904.02</v>
      </c>
      <c r="F25" s="40">
        <v>72.726925486241612</v>
      </c>
    </row>
    <row r="26" spans="1:6">
      <c r="A26" s="8">
        <v>5</v>
      </c>
      <c r="B26" s="74" t="s">
        <v>16</v>
      </c>
      <c r="C26" s="73">
        <v>3</v>
      </c>
      <c r="D26" s="40">
        <v>6316.73</v>
      </c>
      <c r="E26" s="40">
        <v>1629.95</v>
      </c>
      <c r="F26" s="40">
        <v>25.803699065814119</v>
      </c>
    </row>
    <row r="27" spans="1:6">
      <c r="A27" s="9"/>
      <c r="B27" s="93" t="s">
        <v>13</v>
      </c>
      <c r="C27" s="94">
        <v>11</v>
      </c>
      <c r="D27" s="95">
        <v>47632.160000000003</v>
      </c>
      <c r="E27" s="95">
        <v>19903.170000000002</v>
      </c>
      <c r="F27" s="95">
        <v>41.785151040809403</v>
      </c>
    </row>
    <row r="28" spans="1:6">
      <c r="A28" s="3" t="s">
        <v>1</v>
      </c>
      <c r="B28" s="3"/>
      <c r="C28" s="1067" t="s">
        <v>20</v>
      </c>
      <c r="D28" s="20"/>
      <c r="E28" s="6"/>
      <c r="F28" s="5"/>
    </row>
    <row r="29" spans="1:6" ht="25.5">
      <c r="A29" s="58" t="s">
        <v>4</v>
      </c>
      <c r="B29" s="58" t="s">
        <v>5</v>
      </c>
      <c r="C29" s="58" t="s">
        <v>6</v>
      </c>
      <c r="D29" s="58" t="s">
        <v>7</v>
      </c>
      <c r="E29" s="58" t="s">
        <v>8</v>
      </c>
      <c r="F29" s="58" t="s">
        <v>9</v>
      </c>
    </row>
    <row r="30" spans="1:6">
      <c r="A30" s="8">
        <v>1</v>
      </c>
      <c r="B30" s="9" t="s">
        <v>10</v>
      </c>
      <c r="C30" s="8">
        <v>2</v>
      </c>
      <c r="D30" s="39">
        <v>19618.62</v>
      </c>
      <c r="E30" s="39">
        <v>3989.1</v>
      </c>
      <c r="F30" s="39">
        <v>20.333234447682866</v>
      </c>
    </row>
    <row r="31" spans="1:6">
      <c r="A31" s="8">
        <v>2</v>
      </c>
      <c r="B31" s="74" t="s">
        <v>12</v>
      </c>
      <c r="C31" s="73">
        <v>3</v>
      </c>
      <c r="D31" s="40">
        <v>1706.84</v>
      </c>
      <c r="E31" s="40">
        <v>730.08</v>
      </c>
      <c r="F31" s="40">
        <v>42.773780787888732</v>
      </c>
    </row>
    <row r="32" spans="1:6">
      <c r="A32" s="8">
        <v>3</v>
      </c>
      <c r="B32" s="74" t="s">
        <v>16</v>
      </c>
      <c r="C32" s="73">
        <v>2</v>
      </c>
      <c r="D32" s="40">
        <v>1704.31</v>
      </c>
      <c r="E32" s="40">
        <v>120.01</v>
      </c>
      <c r="F32" s="40">
        <v>7.0415593407302666</v>
      </c>
    </row>
    <row r="33" spans="1:6">
      <c r="A33" s="9"/>
      <c r="B33" s="93" t="s">
        <v>13</v>
      </c>
      <c r="C33" s="94">
        <v>7</v>
      </c>
      <c r="D33" s="95">
        <v>23029.77</v>
      </c>
      <c r="E33" s="95">
        <v>4839.1900000000005</v>
      </c>
      <c r="F33" s="95">
        <v>21.012758703191569</v>
      </c>
    </row>
    <row r="34" spans="1:6">
      <c r="A34" s="3" t="s">
        <v>1</v>
      </c>
      <c r="B34" s="3"/>
      <c r="C34" s="6" t="s">
        <v>21</v>
      </c>
      <c r="D34" s="20"/>
      <c r="E34" s="6"/>
      <c r="F34" s="5"/>
    </row>
    <row r="35" spans="1:6" ht="25.5">
      <c r="A35" s="58" t="s">
        <v>4</v>
      </c>
      <c r="B35" s="58" t="s">
        <v>5</v>
      </c>
      <c r="C35" s="58" t="s">
        <v>6</v>
      </c>
      <c r="D35" s="58" t="s">
        <v>7</v>
      </c>
      <c r="E35" s="58" t="s">
        <v>8</v>
      </c>
      <c r="F35" s="58" t="s">
        <v>9</v>
      </c>
    </row>
    <row r="36" spans="1:6">
      <c r="A36" s="8">
        <v>1</v>
      </c>
      <c r="B36" s="9" t="s">
        <v>10</v>
      </c>
      <c r="C36" s="8">
        <v>5</v>
      </c>
      <c r="D36" s="39">
        <v>59703.56</v>
      </c>
      <c r="E36" s="39">
        <v>19483.36</v>
      </c>
      <c r="F36" s="39">
        <v>32.633497901967658</v>
      </c>
    </row>
    <row r="37" spans="1:6">
      <c r="A37" s="8">
        <v>2</v>
      </c>
      <c r="B37" s="9" t="s">
        <v>23</v>
      </c>
      <c r="C37" s="8">
        <v>1</v>
      </c>
      <c r="D37" s="39">
        <v>8440</v>
      </c>
      <c r="E37" s="39">
        <v>1248</v>
      </c>
      <c r="F37" s="39">
        <v>14.786729857819903</v>
      </c>
    </row>
    <row r="38" spans="1:6">
      <c r="A38" s="8">
        <v>3</v>
      </c>
      <c r="B38" s="9" t="s">
        <v>24</v>
      </c>
      <c r="C38" s="8">
        <v>1</v>
      </c>
      <c r="D38" s="39">
        <v>2198.42</v>
      </c>
      <c r="E38" s="39">
        <v>974.15</v>
      </c>
      <c r="F38" s="39">
        <v>44.311369074153255</v>
      </c>
    </row>
    <row r="39" spans="1:6">
      <c r="A39" s="8">
        <v>4</v>
      </c>
      <c r="B39" s="74" t="s">
        <v>12</v>
      </c>
      <c r="C39" s="73">
        <v>4</v>
      </c>
      <c r="D39" s="40">
        <v>3564.84</v>
      </c>
      <c r="E39" s="40">
        <v>1540.35</v>
      </c>
      <c r="F39" s="40">
        <v>43.209512909415281</v>
      </c>
    </row>
    <row r="40" spans="1:6">
      <c r="A40" s="8">
        <v>5</v>
      </c>
      <c r="B40" s="74" t="s">
        <v>16</v>
      </c>
      <c r="C40" s="73">
        <v>5</v>
      </c>
      <c r="D40" s="40">
        <v>9915.31</v>
      </c>
      <c r="E40" s="40">
        <v>1642.25</v>
      </c>
      <c r="F40" s="40">
        <v>16.562770099976703</v>
      </c>
    </row>
    <row r="41" spans="1:6">
      <c r="A41" s="12"/>
      <c r="B41" s="93" t="s">
        <v>13</v>
      </c>
      <c r="C41" s="94">
        <v>16</v>
      </c>
      <c r="D41" s="95">
        <v>83822.12999999999</v>
      </c>
      <c r="E41" s="95">
        <v>24888.11</v>
      </c>
      <c r="F41" s="95">
        <v>29.691574289510424</v>
      </c>
    </row>
    <row r="42" spans="1:6" s="741" customFormat="1" ht="15.75">
      <c r="A42" s="55"/>
      <c r="B42" s="1068"/>
      <c r="C42" s="1450">
        <v>14</v>
      </c>
      <c r="D42" s="1450"/>
      <c r="E42" s="53"/>
      <c r="F42" s="53"/>
    </row>
    <row r="43" spans="1:6">
      <c r="A43" s="3" t="s">
        <v>1</v>
      </c>
      <c r="B43" s="3"/>
      <c r="C43" s="6" t="s">
        <v>25</v>
      </c>
      <c r="D43" s="20"/>
      <c r="E43" s="6"/>
      <c r="F43" s="5"/>
    </row>
    <row r="44" spans="1:6" ht="25.5">
      <c r="A44" s="58" t="s">
        <v>4</v>
      </c>
      <c r="B44" s="58" t="s">
        <v>5</v>
      </c>
      <c r="C44" s="58" t="s">
        <v>6</v>
      </c>
      <c r="D44" s="58" t="s">
        <v>7</v>
      </c>
      <c r="E44" s="58" t="s">
        <v>8</v>
      </c>
      <c r="F44" s="58" t="s">
        <v>9</v>
      </c>
    </row>
    <row r="45" spans="1:6">
      <c r="A45" s="8">
        <v>1</v>
      </c>
      <c r="B45" s="9" t="s">
        <v>10</v>
      </c>
      <c r="C45" s="8">
        <v>3</v>
      </c>
      <c r="D45" s="39">
        <v>45951.3</v>
      </c>
      <c r="E45" s="39">
        <v>13313.09</v>
      </c>
      <c r="F45" s="39">
        <v>28.972172713285584</v>
      </c>
    </row>
    <row r="46" spans="1:6">
      <c r="A46" s="8">
        <v>2</v>
      </c>
      <c r="B46" s="9" t="s">
        <v>19</v>
      </c>
      <c r="C46" s="8">
        <v>1</v>
      </c>
      <c r="D46" s="39">
        <v>1045.07</v>
      </c>
      <c r="E46" s="39">
        <v>592.83000000000004</v>
      </c>
      <c r="F46" s="39">
        <v>56.726343689896375</v>
      </c>
    </row>
    <row r="47" spans="1:6">
      <c r="A47" s="8">
        <v>3</v>
      </c>
      <c r="B47" s="9" t="s">
        <v>23</v>
      </c>
      <c r="C47" s="8">
        <v>1</v>
      </c>
      <c r="D47" s="39">
        <v>26027</v>
      </c>
      <c r="E47" s="39">
        <v>4394</v>
      </c>
      <c r="F47" s="39">
        <v>16.882468206093673</v>
      </c>
    </row>
    <row r="48" spans="1:6">
      <c r="A48" s="8">
        <v>4</v>
      </c>
      <c r="B48" s="9" t="s">
        <v>17</v>
      </c>
      <c r="C48" s="8">
        <v>1</v>
      </c>
      <c r="D48" s="39">
        <v>1363</v>
      </c>
      <c r="E48" s="39">
        <v>810</v>
      </c>
      <c r="F48" s="39">
        <v>59.427732942039619</v>
      </c>
    </row>
    <row r="49" spans="1:6">
      <c r="A49" s="8">
        <v>5</v>
      </c>
      <c r="B49" s="74" t="s">
        <v>26</v>
      </c>
      <c r="C49" s="73">
        <v>1</v>
      </c>
      <c r="D49" s="40">
        <v>1665.15</v>
      </c>
      <c r="E49" s="40">
        <v>899.66</v>
      </c>
      <c r="F49" s="40">
        <v>54.028766177221264</v>
      </c>
    </row>
    <row r="50" spans="1:6">
      <c r="A50" s="8">
        <v>6</v>
      </c>
      <c r="B50" s="9" t="s">
        <v>27</v>
      </c>
      <c r="C50" s="8">
        <v>1</v>
      </c>
      <c r="D50" s="39">
        <v>1218.95</v>
      </c>
      <c r="E50" s="39">
        <v>338.47</v>
      </c>
      <c r="F50" s="39">
        <v>27.767340744083022</v>
      </c>
    </row>
    <row r="51" spans="1:6">
      <c r="A51" s="8">
        <v>7</v>
      </c>
      <c r="B51" s="74" t="s">
        <v>11</v>
      </c>
      <c r="C51" s="73">
        <v>1</v>
      </c>
      <c r="D51" s="40">
        <v>606.6</v>
      </c>
      <c r="E51" s="40">
        <v>7.01</v>
      </c>
      <c r="F51" s="40">
        <v>1.1556214968677876</v>
      </c>
    </row>
    <row r="52" spans="1:6">
      <c r="A52" s="8">
        <v>8</v>
      </c>
      <c r="B52" s="9" t="s">
        <v>12</v>
      </c>
      <c r="C52" s="8">
        <v>1</v>
      </c>
      <c r="D52" s="39">
        <v>946.46</v>
      </c>
      <c r="E52" s="39">
        <v>375.6</v>
      </c>
      <c r="F52" s="39">
        <v>39.684719903640932</v>
      </c>
    </row>
    <row r="53" spans="1:6">
      <c r="A53" s="8">
        <v>9</v>
      </c>
      <c r="B53" s="74" t="s">
        <v>16</v>
      </c>
      <c r="C53" s="73">
        <v>6</v>
      </c>
      <c r="D53" s="40">
        <v>15373.22</v>
      </c>
      <c r="E53" s="40">
        <v>3742.98</v>
      </c>
      <c r="F53" s="40">
        <v>24.347404122233339</v>
      </c>
    </row>
    <row r="54" spans="1:6">
      <c r="A54" s="8">
        <v>10</v>
      </c>
      <c r="B54" s="9" t="s">
        <v>28</v>
      </c>
      <c r="C54" s="8">
        <v>1</v>
      </c>
      <c r="D54" s="39">
        <v>762.84</v>
      </c>
      <c r="E54" s="39">
        <v>378.53</v>
      </c>
      <c r="F54" s="39">
        <v>49.621152535262958</v>
      </c>
    </row>
    <row r="55" spans="1:6">
      <c r="A55" s="13"/>
      <c r="B55" s="93" t="s">
        <v>13</v>
      </c>
      <c r="C55" s="94">
        <v>17</v>
      </c>
      <c r="D55" s="95">
        <v>94959.59</v>
      </c>
      <c r="E55" s="95">
        <v>24852.169999999995</v>
      </c>
      <c r="F55" s="95">
        <v>26.17131139677414</v>
      </c>
    </row>
    <row r="56" spans="1:6">
      <c r="A56" s="3" t="s">
        <v>1</v>
      </c>
      <c r="B56" s="3"/>
      <c r="C56" s="6" t="s">
        <v>29</v>
      </c>
      <c r="D56" s="19"/>
      <c r="E56" s="19"/>
      <c r="F56" s="19"/>
    </row>
    <row r="57" spans="1:6" ht="25.5">
      <c r="A57" s="58" t="s">
        <v>4</v>
      </c>
      <c r="B57" s="58" t="s">
        <v>5</v>
      </c>
      <c r="C57" s="58" t="s">
        <v>6</v>
      </c>
      <c r="D57" s="58" t="s">
        <v>7</v>
      </c>
      <c r="E57" s="58" t="s">
        <v>8</v>
      </c>
      <c r="F57" s="58" t="s">
        <v>9</v>
      </c>
    </row>
    <row r="58" spans="1:6">
      <c r="A58" s="15">
        <v>1</v>
      </c>
      <c r="B58" s="16" t="s">
        <v>10</v>
      </c>
      <c r="C58" s="17">
        <v>1</v>
      </c>
      <c r="D58" s="742">
        <v>8715.18</v>
      </c>
      <c r="E58" s="742">
        <v>898.37</v>
      </c>
      <c r="F58" s="742">
        <v>10.308106086162304</v>
      </c>
    </row>
    <row r="59" spans="1:6">
      <c r="A59" s="15">
        <v>2</v>
      </c>
      <c r="B59" s="182" t="s">
        <v>16</v>
      </c>
      <c r="C59" s="190">
        <v>3</v>
      </c>
      <c r="D59" s="184">
        <v>1473.1</v>
      </c>
      <c r="E59" s="184">
        <v>136.63</v>
      </c>
      <c r="F59" s="184">
        <v>9.2749983028986485</v>
      </c>
    </row>
    <row r="60" spans="1:6">
      <c r="A60" s="15"/>
      <c r="B60" s="1069"/>
      <c r="C60" s="190">
        <v>4</v>
      </c>
      <c r="D60" s="184">
        <v>10188.280000000001</v>
      </c>
      <c r="E60" s="184">
        <v>1035</v>
      </c>
      <c r="F60" s="184">
        <v>10.158731405104689</v>
      </c>
    </row>
    <row r="61" spans="1:6">
      <c r="A61" s="3" t="s">
        <v>1</v>
      </c>
      <c r="B61" s="5"/>
      <c r="C61" s="3" t="s">
        <v>30</v>
      </c>
      <c r="D61" s="20"/>
      <c r="E61" s="3"/>
      <c r="F61" s="5"/>
    </row>
    <row r="62" spans="1:6" ht="25.5">
      <c r="A62" s="58" t="s">
        <v>4</v>
      </c>
      <c r="B62" s="58" t="s">
        <v>5</v>
      </c>
      <c r="C62" s="58" t="s">
        <v>6</v>
      </c>
      <c r="D62" s="58" t="s">
        <v>7</v>
      </c>
      <c r="E62" s="58" t="s">
        <v>8</v>
      </c>
      <c r="F62" s="58" t="s">
        <v>9</v>
      </c>
    </row>
    <row r="63" spans="1:6">
      <c r="A63" s="8">
        <v>1</v>
      </c>
      <c r="B63" s="9" t="s">
        <v>10</v>
      </c>
      <c r="C63" s="8">
        <v>1</v>
      </c>
      <c r="D63" s="39">
        <v>6440.31</v>
      </c>
      <c r="E63" s="39">
        <v>1138.72</v>
      </c>
      <c r="F63" s="39">
        <v>17.681136467033419</v>
      </c>
    </row>
    <row r="64" spans="1:6">
      <c r="A64" s="8">
        <v>2</v>
      </c>
      <c r="B64" s="9" t="s">
        <v>12</v>
      </c>
      <c r="C64" s="8">
        <v>1</v>
      </c>
      <c r="D64" s="45">
        <v>367.48</v>
      </c>
      <c r="E64" s="39">
        <v>280.19</v>
      </c>
      <c r="F64" s="39">
        <v>76.246326330684653</v>
      </c>
    </row>
    <row r="65" spans="1:6">
      <c r="A65" s="8">
        <v>2</v>
      </c>
      <c r="B65" s="191" t="s">
        <v>13</v>
      </c>
      <c r="C65" s="192">
        <v>2</v>
      </c>
      <c r="D65" s="95">
        <v>6807.7900000000009</v>
      </c>
      <c r="E65" s="95">
        <v>1418.91</v>
      </c>
      <c r="F65" s="95">
        <v>20.842446667714484</v>
      </c>
    </row>
    <row r="66" spans="1:6">
      <c r="A66" s="3" t="s">
        <v>1</v>
      </c>
      <c r="B66" s="5"/>
      <c r="C66" s="3" t="s">
        <v>31</v>
      </c>
      <c r="D66" s="20"/>
      <c r="E66" s="3"/>
      <c r="F66" s="3"/>
    </row>
    <row r="67" spans="1:6" ht="25.5">
      <c r="A67" s="58" t="s">
        <v>4</v>
      </c>
      <c r="B67" s="58" t="s">
        <v>5</v>
      </c>
      <c r="C67" s="58" t="s">
        <v>6</v>
      </c>
      <c r="D67" s="58" t="s">
        <v>7</v>
      </c>
      <c r="E67" s="58" t="s">
        <v>8</v>
      </c>
      <c r="F67" s="58" t="s">
        <v>9</v>
      </c>
    </row>
    <row r="68" spans="1:6">
      <c r="A68" s="8">
        <v>1</v>
      </c>
      <c r="B68" s="9" t="s">
        <v>10</v>
      </c>
      <c r="C68" s="8">
        <v>1</v>
      </c>
      <c r="D68" s="39">
        <v>24069.84</v>
      </c>
      <c r="E68" s="39">
        <v>3685.5</v>
      </c>
      <c r="F68" s="39">
        <v>15.311692973447268</v>
      </c>
    </row>
    <row r="69" spans="1:6">
      <c r="A69" s="8">
        <v>2</v>
      </c>
      <c r="B69" s="74" t="s">
        <v>26</v>
      </c>
      <c r="C69" s="73">
        <v>1</v>
      </c>
      <c r="D69" s="40">
        <v>2739.58</v>
      </c>
      <c r="E69" s="40">
        <v>1539.31</v>
      </c>
      <c r="F69" s="40">
        <v>56.187809810262891</v>
      </c>
    </row>
    <row r="70" spans="1:6">
      <c r="A70" s="8">
        <v>3</v>
      </c>
      <c r="B70" s="74" t="s">
        <v>32</v>
      </c>
      <c r="C70" s="73">
        <v>1</v>
      </c>
      <c r="D70" s="40">
        <v>1420.25</v>
      </c>
      <c r="E70" s="40">
        <v>200.43</v>
      </c>
      <c r="F70" s="40">
        <v>14.112304171800739</v>
      </c>
    </row>
    <row r="71" spans="1:6">
      <c r="A71" s="8">
        <v>4</v>
      </c>
      <c r="B71" s="9" t="s">
        <v>12</v>
      </c>
      <c r="C71" s="8">
        <v>2</v>
      </c>
      <c r="D71" s="39">
        <v>1201.67</v>
      </c>
      <c r="E71" s="39">
        <v>647.02</v>
      </c>
      <c r="F71" s="39">
        <v>53.843401266570687</v>
      </c>
    </row>
    <row r="72" spans="1:6">
      <c r="A72" s="8">
        <v>5</v>
      </c>
      <c r="B72" s="74" t="s">
        <v>16</v>
      </c>
      <c r="C72" s="73">
        <v>1</v>
      </c>
      <c r="D72" s="40">
        <v>676.67</v>
      </c>
      <c r="E72" s="40">
        <v>50.13</v>
      </c>
      <c r="F72" s="40">
        <v>7.4083378899611345</v>
      </c>
    </row>
    <row r="73" spans="1:6">
      <c r="A73" s="8"/>
      <c r="B73" s="191" t="s">
        <v>13</v>
      </c>
      <c r="C73" s="192">
        <v>6</v>
      </c>
      <c r="D73" s="95">
        <v>30108.009999999995</v>
      </c>
      <c r="E73" s="95">
        <v>6122.39</v>
      </c>
      <c r="F73" s="95">
        <v>20.334754771238622</v>
      </c>
    </row>
    <row r="74" spans="1:6">
      <c r="A74" s="3" t="s">
        <v>1</v>
      </c>
      <c r="B74" s="3"/>
      <c r="C74" s="3" t="s">
        <v>33</v>
      </c>
      <c r="D74" s="20"/>
      <c r="E74" s="5"/>
      <c r="F74" s="5"/>
    </row>
    <row r="75" spans="1:6" ht="25.5">
      <c r="A75" s="58" t="s">
        <v>4</v>
      </c>
      <c r="B75" s="58" t="s">
        <v>5</v>
      </c>
      <c r="C75" s="58" t="s">
        <v>6</v>
      </c>
      <c r="D75" s="58" t="s">
        <v>7</v>
      </c>
      <c r="E75" s="58" t="s">
        <v>8</v>
      </c>
      <c r="F75" s="58" t="s">
        <v>9</v>
      </c>
    </row>
    <row r="76" spans="1:6">
      <c r="A76" s="8">
        <v>1</v>
      </c>
      <c r="B76" s="9" t="s">
        <v>10</v>
      </c>
      <c r="C76" s="8">
        <v>2</v>
      </c>
      <c r="D76" s="39">
        <v>32803.83</v>
      </c>
      <c r="E76" s="39">
        <v>7493.72</v>
      </c>
      <c r="F76" s="39">
        <v>22.844039857541024</v>
      </c>
    </row>
    <row r="77" spans="1:6">
      <c r="A77" s="8">
        <v>2</v>
      </c>
      <c r="B77" s="9" t="s">
        <v>17</v>
      </c>
      <c r="C77" s="8">
        <v>1</v>
      </c>
      <c r="D77" s="39">
        <v>0</v>
      </c>
      <c r="E77" s="39">
        <v>0</v>
      </c>
      <c r="F77" s="39">
        <v>0</v>
      </c>
    </row>
    <row r="78" spans="1:6">
      <c r="A78" s="8">
        <v>3</v>
      </c>
      <c r="B78" s="9" t="s">
        <v>12</v>
      </c>
      <c r="C78" s="8">
        <v>1</v>
      </c>
      <c r="D78" s="39">
        <v>410.94</v>
      </c>
      <c r="E78" s="39">
        <v>600.35</v>
      </c>
      <c r="F78" s="39">
        <v>146.09188689346377</v>
      </c>
    </row>
    <row r="79" spans="1:6">
      <c r="A79" s="8">
        <v>4</v>
      </c>
      <c r="B79" s="74" t="s">
        <v>16</v>
      </c>
      <c r="C79" s="73">
        <v>2</v>
      </c>
      <c r="D79" s="40">
        <v>3413.94</v>
      </c>
      <c r="E79" s="40">
        <v>3004.52</v>
      </c>
      <c r="F79" s="40">
        <v>88.007404933888694</v>
      </c>
    </row>
    <row r="80" spans="1:6">
      <c r="A80" s="8"/>
      <c r="B80" s="93" t="s">
        <v>13</v>
      </c>
      <c r="C80" s="94">
        <v>6</v>
      </c>
      <c r="D80" s="95">
        <v>36628.710000000006</v>
      </c>
      <c r="E80" s="95">
        <v>11098.59</v>
      </c>
      <c r="F80" s="40">
        <v>30.300248084084856</v>
      </c>
    </row>
    <row r="81" spans="1:6" s="741" customFormat="1">
      <c r="A81" s="54"/>
      <c r="B81" s="1068"/>
      <c r="C81" s="1379"/>
      <c r="D81" s="53"/>
      <c r="E81" s="53"/>
      <c r="F81" s="1380"/>
    </row>
    <row r="82" spans="1:6" s="741" customFormat="1">
      <c r="A82" s="54"/>
      <c r="B82" s="1068"/>
      <c r="C82" s="1379"/>
      <c r="D82" s="53"/>
      <c r="E82" s="53"/>
      <c r="F82" s="1380"/>
    </row>
    <row r="83" spans="1:6" s="741" customFormat="1">
      <c r="A83" s="54"/>
      <c r="B83" s="1068"/>
      <c r="C83" s="1379"/>
      <c r="D83" s="53"/>
      <c r="E83" s="53"/>
      <c r="F83" s="1380"/>
    </row>
    <row r="84" spans="1:6" s="741" customFormat="1" ht="15.75">
      <c r="A84" s="54"/>
      <c r="B84" s="1068"/>
      <c r="C84" s="1451">
        <v>15</v>
      </c>
      <c r="D84" s="1451"/>
      <c r="E84" s="53"/>
      <c r="F84" s="1380"/>
    </row>
    <row r="85" spans="1:6">
      <c r="A85" s="3" t="s">
        <v>1</v>
      </c>
      <c r="B85" s="1070"/>
      <c r="C85" s="3" t="s">
        <v>34</v>
      </c>
      <c r="D85" s="1071"/>
      <c r="E85" s="1071"/>
      <c r="F85" s="948"/>
    </row>
    <row r="86" spans="1:6" ht="25.5">
      <c r="A86" s="58" t="s">
        <v>4</v>
      </c>
      <c r="B86" s="58" t="s">
        <v>5</v>
      </c>
      <c r="C86" s="58" t="s">
        <v>6</v>
      </c>
      <c r="D86" s="58" t="s">
        <v>7</v>
      </c>
      <c r="E86" s="58" t="s">
        <v>8</v>
      </c>
      <c r="F86" s="58" t="s">
        <v>9</v>
      </c>
    </row>
    <row r="87" spans="1:6" ht="15.75">
      <c r="A87" s="23">
        <v>1</v>
      </c>
      <c r="B87" s="24" t="s">
        <v>10</v>
      </c>
      <c r="C87" s="25">
        <v>2</v>
      </c>
      <c r="D87" s="42">
        <v>25639.07</v>
      </c>
      <c r="E87" s="43">
        <v>6164.77</v>
      </c>
      <c r="F87" s="43">
        <v>24.044436869200016</v>
      </c>
    </row>
    <row r="88" spans="1:6" ht="15.75">
      <c r="A88" s="23">
        <v>2</v>
      </c>
      <c r="B88" s="24" t="s">
        <v>35</v>
      </c>
      <c r="C88" s="25">
        <v>2</v>
      </c>
      <c r="D88" s="43">
        <v>1983.14</v>
      </c>
      <c r="E88" s="43">
        <v>259.79000000000002</v>
      </c>
      <c r="F88" s="43">
        <v>13.099932430388172</v>
      </c>
    </row>
    <row r="89" spans="1:6" ht="15.75">
      <c r="A89" s="23">
        <v>3</v>
      </c>
      <c r="B89" s="24" t="s">
        <v>32</v>
      </c>
      <c r="C89" s="25">
        <v>1</v>
      </c>
      <c r="D89" s="43">
        <v>2634.23</v>
      </c>
      <c r="E89" s="43">
        <v>91.1</v>
      </c>
      <c r="F89" s="43">
        <v>3.4583160923685474</v>
      </c>
    </row>
    <row r="90" spans="1:6" ht="15.75">
      <c r="A90" s="23">
        <v>4</v>
      </c>
      <c r="B90" s="79" t="s">
        <v>11</v>
      </c>
      <c r="C90" s="80">
        <v>1</v>
      </c>
      <c r="D90" s="41">
        <v>1681.18</v>
      </c>
      <c r="E90" s="41">
        <v>70.97</v>
      </c>
      <c r="F90" s="41">
        <v>4.2214397030657036</v>
      </c>
    </row>
    <row r="91" spans="1:6" ht="15.75">
      <c r="A91" s="23">
        <v>5</v>
      </c>
      <c r="B91" s="24" t="s">
        <v>12</v>
      </c>
      <c r="C91" s="25">
        <v>2</v>
      </c>
      <c r="D91" s="43">
        <v>396.4</v>
      </c>
      <c r="E91" s="42">
        <v>1142.5999999999999</v>
      </c>
      <c r="F91" s="43">
        <v>288.24419778002016</v>
      </c>
    </row>
    <row r="92" spans="1:6" ht="15.75">
      <c r="A92" s="23">
        <v>6</v>
      </c>
      <c r="B92" s="79" t="s">
        <v>16</v>
      </c>
      <c r="C92" s="80">
        <v>1</v>
      </c>
      <c r="D92" s="41">
        <v>47.46</v>
      </c>
      <c r="E92" s="1072">
        <v>18.440000000000001</v>
      </c>
      <c r="F92" s="41">
        <v>38.853771597134426</v>
      </c>
    </row>
    <row r="93" spans="1:6">
      <c r="A93" s="26"/>
      <c r="B93" s="1073" t="s">
        <v>13</v>
      </c>
      <c r="C93" s="80">
        <v>8</v>
      </c>
      <c r="D93" s="41">
        <v>32381.48</v>
      </c>
      <c r="E93" s="41">
        <v>7747.670000000001</v>
      </c>
      <c r="F93" s="41">
        <v>23.926238084238278</v>
      </c>
    </row>
    <row r="94" spans="1:6">
      <c r="A94" s="3" t="s">
        <v>36</v>
      </c>
      <c r="B94" s="3"/>
      <c r="C94" s="6" t="s">
        <v>37</v>
      </c>
      <c r="D94" s="20"/>
      <c r="E94" s="27"/>
      <c r="F94" s="5"/>
    </row>
    <row r="95" spans="1:6" ht="25.5">
      <c r="A95" s="58" t="s">
        <v>4</v>
      </c>
      <c r="B95" s="58" t="s">
        <v>5</v>
      </c>
      <c r="C95" s="58" t="s">
        <v>6</v>
      </c>
      <c r="D95" s="58" t="s">
        <v>7</v>
      </c>
      <c r="E95" s="58" t="s">
        <v>8</v>
      </c>
      <c r="F95" s="58" t="s">
        <v>9</v>
      </c>
    </row>
    <row r="96" spans="1:6">
      <c r="A96" s="8">
        <v>1</v>
      </c>
      <c r="B96" s="9" t="s">
        <v>10</v>
      </c>
      <c r="C96" s="8">
        <v>2</v>
      </c>
      <c r="D96" s="39">
        <v>8986.68</v>
      </c>
      <c r="E96" s="39">
        <v>1313.64</v>
      </c>
      <c r="F96" s="39">
        <v>14.61763409846573</v>
      </c>
    </row>
    <row r="97" spans="1:6">
      <c r="A97" s="9"/>
      <c r="B97" s="12" t="s">
        <v>13</v>
      </c>
      <c r="C97" s="13">
        <v>2</v>
      </c>
      <c r="D97" s="1074">
        <v>8986.68</v>
      </c>
      <c r="E97" s="1074">
        <v>1313.64</v>
      </c>
      <c r="F97" s="1074">
        <v>14.61763409846573</v>
      </c>
    </row>
    <row r="98" spans="1:6">
      <c r="A98" s="3" t="s">
        <v>1</v>
      </c>
      <c r="B98" s="3"/>
      <c r="C98" s="3" t="s">
        <v>38</v>
      </c>
      <c r="D98" s="20"/>
      <c r="E98" s="3"/>
      <c r="F98" s="5"/>
    </row>
    <row r="99" spans="1:6" ht="25.5">
      <c r="A99" s="58" t="s">
        <v>4</v>
      </c>
      <c r="B99" s="58" t="s">
        <v>5</v>
      </c>
      <c r="C99" s="58" t="s">
        <v>6</v>
      </c>
      <c r="D99" s="58" t="s">
        <v>7</v>
      </c>
      <c r="E99" s="58" t="s">
        <v>8</v>
      </c>
      <c r="F99" s="58" t="s">
        <v>9</v>
      </c>
    </row>
    <row r="100" spans="1:6">
      <c r="A100" s="8">
        <v>1</v>
      </c>
      <c r="B100" s="9" t="s">
        <v>10</v>
      </c>
      <c r="C100" s="8">
        <v>6</v>
      </c>
      <c r="D100" s="39">
        <v>52029.71</v>
      </c>
      <c r="E100" s="39">
        <v>8992.83</v>
      </c>
      <c r="F100" s="39">
        <v>17.284028682842937</v>
      </c>
    </row>
    <row r="101" spans="1:6">
      <c r="A101" s="8">
        <v>2</v>
      </c>
      <c r="B101" s="9" t="s">
        <v>12</v>
      </c>
      <c r="C101" s="8">
        <v>3</v>
      </c>
      <c r="D101" s="39">
        <v>1229.99</v>
      </c>
      <c r="E101" s="39">
        <v>568.01</v>
      </c>
      <c r="F101" s="39">
        <v>46.180050244310927</v>
      </c>
    </row>
    <row r="102" spans="1:6">
      <c r="A102" s="9"/>
      <c r="B102" s="191" t="s">
        <v>13</v>
      </c>
      <c r="C102" s="192">
        <v>9</v>
      </c>
      <c r="D102" s="95">
        <v>53259.7</v>
      </c>
      <c r="E102" s="95">
        <v>9560.84</v>
      </c>
      <c r="F102" s="95">
        <v>17.951359095150742</v>
      </c>
    </row>
    <row r="103" spans="1:6">
      <c r="A103" s="3" t="s">
        <v>1</v>
      </c>
      <c r="B103" s="3"/>
      <c r="C103" s="3" t="s">
        <v>39</v>
      </c>
      <c r="D103" s="20"/>
      <c r="E103" s="5"/>
      <c r="F103" s="5"/>
    </row>
    <row r="104" spans="1:6" ht="25.5">
      <c r="A104" s="58" t="s">
        <v>4</v>
      </c>
      <c r="B104" s="58" t="s">
        <v>5</v>
      </c>
      <c r="C104" s="58" t="s">
        <v>6</v>
      </c>
      <c r="D104" s="58" t="s">
        <v>7</v>
      </c>
      <c r="E104" s="58" t="s">
        <v>8</v>
      </c>
      <c r="F104" s="58" t="s">
        <v>9</v>
      </c>
    </row>
    <row r="105" spans="1:6">
      <c r="A105" s="8">
        <v>1</v>
      </c>
      <c r="B105" s="9" t="s">
        <v>10</v>
      </c>
      <c r="C105" s="8">
        <v>3</v>
      </c>
      <c r="D105" s="39">
        <v>10610.44</v>
      </c>
      <c r="E105" s="39">
        <v>2787.6</v>
      </c>
      <c r="F105" s="39">
        <v>26.272237532091033</v>
      </c>
    </row>
    <row r="106" spans="1:6">
      <c r="A106" s="9"/>
      <c r="B106" s="191" t="s">
        <v>13</v>
      </c>
      <c r="C106" s="192">
        <v>3</v>
      </c>
      <c r="D106" s="95">
        <v>10610.44</v>
      </c>
      <c r="E106" s="95">
        <v>2787.6</v>
      </c>
      <c r="F106" s="95">
        <v>26.272237532091033</v>
      </c>
    </row>
    <row r="107" spans="1:6">
      <c r="A107" s="3" t="s">
        <v>1</v>
      </c>
      <c r="B107" s="3"/>
      <c r="C107" s="3" t="s">
        <v>40</v>
      </c>
      <c r="D107" s="20"/>
      <c r="E107" s="5"/>
      <c r="F107" s="5"/>
    </row>
    <row r="108" spans="1:6" ht="25.5">
      <c r="A108" s="58" t="s">
        <v>4</v>
      </c>
      <c r="B108" s="58" t="s">
        <v>5</v>
      </c>
      <c r="C108" s="58" t="s">
        <v>6</v>
      </c>
      <c r="D108" s="58" t="s">
        <v>7</v>
      </c>
      <c r="E108" s="58" t="s">
        <v>8</v>
      </c>
      <c r="F108" s="58" t="s">
        <v>9</v>
      </c>
    </row>
    <row r="109" spans="1:6">
      <c r="A109" s="8">
        <v>1</v>
      </c>
      <c r="B109" s="9" t="s">
        <v>10</v>
      </c>
      <c r="C109" s="8">
        <v>2</v>
      </c>
      <c r="D109" s="39">
        <v>32968.629999999997</v>
      </c>
      <c r="E109" s="39">
        <v>8225.75</v>
      </c>
      <c r="F109" s="39">
        <v>24.950232994212985</v>
      </c>
    </row>
    <row r="110" spans="1:6">
      <c r="A110" s="8">
        <v>2</v>
      </c>
      <c r="B110" s="9" t="s">
        <v>12</v>
      </c>
      <c r="C110" s="8">
        <v>2</v>
      </c>
      <c r="D110" s="39">
        <v>2413.11</v>
      </c>
      <c r="E110" s="39">
        <v>855.11</v>
      </c>
      <c r="F110" s="39">
        <v>35.436014106277788</v>
      </c>
    </row>
    <row r="111" spans="1:6">
      <c r="A111" s="9"/>
      <c r="B111" s="191" t="s">
        <v>13</v>
      </c>
      <c r="C111" s="192">
        <v>4</v>
      </c>
      <c r="D111" s="95">
        <v>35381.74</v>
      </c>
      <c r="E111" s="95">
        <v>9080.86</v>
      </c>
      <c r="F111" s="95">
        <v>25.665385591550901</v>
      </c>
    </row>
    <row r="112" spans="1:6">
      <c r="A112" s="3" t="s">
        <v>1</v>
      </c>
      <c r="B112" s="3"/>
      <c r="C112" s="1076" t="s">
        <v>41</v>
      </c>
      <c r="D112" s="20"/>
      <c r="E112" s="5"/>
      <c r="F112" s="5"/>
    </row>
    <row r="113" spans="1:6" ht="25.5">
      <c r="A113" s="58" t="s">
        <v>4</v>
      </c>
      <c r="B113" s="58" t="s">
        <v>5</v>
      </c>
      <c r="C113" s="58" t="s">
        <v>6</v>
      </c>
      <c r="D113" s="58" t="s">
        <v>7</v>
      </c>
      <c r="E113" s="58" t="s">
        <v>8</v>
      </c>
      <c r="F113" s="58" t="s">
        <v>9</v>
      </c>
    </row>
    <row r="114" spans="1:6">
      <c r="A114" s="8">
        <v>1</v>
      </c>
      <c r="B114" s="9" t="s">
        <v>10</v>
      </c>
      <c r="C114" s="8">
        <v>3</v>
      </c>
      <c r="D114" s="39">
        <v>84544.9</v>
      </c>
      <c r="E114" s="39">
        <v>5157.8500000000004</v>
      </c>
      <c r="F114" s="39">
        <v>6.1007228111926333</v>
      </c>
    </row>
    <row r="115" spans="1:6">
      <c r="A115" s="8">
        <v>2</v>
      </c>
      <c r="B115" s="9" t="s">
        <v>12</v>
      </c>
      <c r="C115" s="8">
        <v>2</v>
      </c>
      <c r="D115" s="39">
        <v>675.54</v>
      </c>
      <c r="E115" s="39">
        <v>540.47</v>
      </c>
      <c r="F115" s="39">
        <v>80.00562512952601</v>
      </c>
    </row>
    <row r="116" spans="1:6">
      <c r="A116" s="31">
        <v>3</v>
      </c>
      <c r="B116" s="30" t="s">
        <v>19</v>
      </c>
      <c r="C116" s="31">
        <v>1</v>
      </c>
      <c r="D116" s="37">
        <v>1061.1400000000001</v>
      </c>
      <c r="E116" s="37">
        <v>818.13</v>
      </c>
      <c r="F116" s="37">
        <v>77.099157509847885</v>
      </c>
    </row>
    <row r="117" spans="1:6">
      <c r="A117" s="31">
        <v>4</v>
      </c>
      <c r="B117" s="30" t="s">
        <v>17</v>
      </c>
      <c r="C117" s="31">
        <v>1</v>
      </c>
      <c r="D117" s="37">
        <v>670.19</v>
      </c>
      <c r="E117" s="37">
        <v>270.97000000000003</v>
      </c>
      <c r="F117" s="37">
        <v>40.431817842701328</v>
      </c>
    </row>
    <row r="118" spans="1:6">
      <c r="A118" s="8">
        <v>5</v>
      </c>
      <c r="B118" s="74" t="s">
        <v>26</v>
      </c>
      <c r="C118" s="73">
        <v>1</v>
      </c>
      <c r="D118" s="40">
        <v>2866.61</v>
      </c>
      <c r="E118" s="40">
        <v>1181.81</v>
      </c>
      <c r="F118" s="40">
        <v>41.226745179846574</v>
      </c>
    </row>
    <row r="119" spans="1:6">
      <c r="A119" s="8">
        <v>6</v>
      </c>
      <c r="B119" s="74" t="s">
        <v>11</v>
      </c>
      <c r="C119" s="73">
        <v>1</v>
      </c>
      <c r="D119" s="40">
        <v>5401.39</v>
      </c>
      <c r="E119" s="40">
        <v>191.28</v>
      </c>
      <c r="F119" s="40">
        <v>3.5413106626257309</v>
      </c>
    </row>
    <row r="120" spans="1:6">
      <c r="A120" s="9"/>
      <c r="B120" s="191" t="s">
        <v>13</v>
      </c>
      <c r="C120" s="1077">
        <v>9</v>
      </c>
      <c r="D120" s="95">
        <v>95219.76999999999</v>
      </c>
      <c r="E120" s="95">
        <v>8160.5100000000011</v>
      </c>
      <c r="F120" s="95">
        <v>8.5701845320567376</v>
      </c>
    </row>
    <row r="121" spans="1:6" s="741" customFormat="1">
      <c r="A121" s="14"/>
      <c r="B121" s="1075"/>
      <c r="C121" s="1381"/>
      <c r="D121" s="53"/>
      <c r="E121" s="53"/>
      <c r="F121" s="53"/>
    </row>
    <row r="122" spans="1:6" s="741" customFormat="1">
      <c r="A122" s="14"/>
      <c r="B122" s="1075"/>
      <c r="C122" s="1381"/>
      <c r="D122" s="53"/>
      <c r="E122" s="53"/>
      <c r="F122" s="53"/>
    </row>
    <row r="123" spans="1:6" s="741" customFormat="1">
      <c r="A123" s="14"/>
      <c r="B123" s="1075"/>
      <c r="C123" s="1381"/>
      <c r="D123" s="53"/>
      <c r="E123" s="53"/>
      <c r="F123" s="53"/>
    </row>
    <row r="124" spans="1:6" s="741" customFormat="1">
      <c r="A124" s="14"/>
      <c r="B124" s="1075"/>
      <c r="C124" s="1381"/>
      <c r="D124" s="53"/>
      <c r="E124" s="53"/>
      <c r="F124" s="53"/>
    </row>
    <row r="125" spans="1:6" s="741" customFormat="1" ht="15.75">
      <c r="A125" s="14"/>
      <c r="B125" s="1075"/>
      <c r="C125" s="1452">
        <v>16</v>
      </c>
      <c r="D125" s="1452"/>
      <c r="E125" s="53"/>
      <c r="F125" s="53"/>
    </row>
    <row r="126" spans="1:6">
      <c r="A126" s="3" t="s">
        <v>1</v>
      </c>
      <c r="B126" s="3"/>
      <c r="C126" s="1076" t="s">
        <v>42</v>
      </c>
      <c r="D126" s="20"/>
      <c r="E126" s="5"/>
      <c r="F126" s="5"/>
    </row>
    <row r="127" spans="1:6" ht="25.5">
      <c r="A127" s="58" t="s">
        <v>4</v>
      </c>
      <c r="B127" s="58" t="s">
        <v>5</v>
      </c>
      <c r="C127" s="58" t="s">
        <v>6</v>
      </c>
      <c r="D127" s="58" t="s">
        <v>7</v>
      </c>
      <c r="E127" s="58" t="s">
        <v>8</v>
      </c>
      <c r="F127" s="58" t="s">
        <v>9</v>
      </c>
    </row>
    <row r="128" spans="1:6">
      <c r="A128" s="8">
        <v>1</v>
      </c>
      <c r="B128" s="9" t="s">
        <v>10</v>
      </c>
      <c r="C128" s="8">
        <v>7</v>
      </c>
      <c r="D128" s="39">
        <v>72112.17</v>
      </c>
      <c r="E128" s="39">
        <v>11587.7</v>
      </c>
      <c r="F128" s="39">
        <v>16.068993624793151</v>
      </c>
    </row>
    <row r="129" spans="1:6">
      <c r="A129" s="8">
        <v>2</v>
      </c>
      <c r="B129" s="9" t="s">
        <v>17</v>
      </c>
      <c r="C129" s="8">
        <v>1</v>
      </c>
      <c r="D129" s="39">
        <v>1194</v>
      </c>
      <c r="E129" s="39">
        <v>337</v>
      </c>
      <c r="F129" s="39">
        <v>28.224455611390287</v>
      </c>
    </row>
    <row r="130" spans="1:6">
      <c r="A130" s="8">
        <v>3</v>
      </c>
      <c r="B130" s="9" t="s">
        <v>19</v>
      </c>
      <c r="C130" s="8">
        <v>2</v>
      </c>
      <c r="D130" s="39">
        <v>1041.54</v>
      </c>
      <c r="E130" s="39">
        <v>737.98</v>
      </c>
      <c r="F130" s="39">
        <v>70.854695931025219</v>
      </c>
    </row>
    <row r="131" spans="1:6">
      <c r="A131" s="8">
        <v>4</v>
      </c>
      <c r="B131" s="9" t="s">
        <v>12</v>
      </c>
      <c r="C131" s="8">
        <v>1</v>
      </c>
      <c r="D131" s="39">
        <v>243.01</v>
      </c>
      <c r="E131" s="39">
        <v>904.06</v>
      </c>
      <c r="F131" s="39">
        <v>372.02584255791942</v>
      </c>
    </row>
    <row r="132" spans="1:6">
      <c r="A132" s="8">
        <v>5</v>
      </c>
      <c r="B132" s="74" t="s">
        <v>11</v>
      </c>
      <c r="C132" s="73">
        <v>1</v>
      </c>
      <c r="D132" s="40">
        <v>1892.13</v>
      </c>
      <c r="E132" s="40">
        <v>192.06</v>
      </c>
      <c r="F132" s="40">
        <v>10.150465348575414</v>
      </c>
    </row>
    <row r="133" spans="1:6">
      <c r="A133" s="8">
        <v>6</v>
      </c>
      <c r="B133" s="9" t="s">
        <v>32</v>
      </c>
      <c r="C133" s="8">
        <v>1</v>
      </c>
      <c r="D133" s="39">
        <v>48.55</v>
      </c>
      <c r="E133" s="39">
        <v>47.37</v>
      </c>
      <c r="F133" s="39">
        <v>97.569515962924811</v>
      </c>
    </row>
    <row r="134" spans="1:6">
      <c r="A134" s="9"/>
      <c r="B134" s="191" t="s">
        <v>13</v>
      </c>
      <c r="C134" s="192">
        <v>13</v>
      </c>
      <c r="D134" s="95">
        <v>76531.399999999994</v>
      </c>
      <c r="E134" s="95">
        <v>13806.17</v>
      </c>
      <c r="F134" s="95">
        <v>18.039876442871815</v>
      </c>
    </row>
    <row r="135" spans="1:6">
      <c r="A135" s="3" t="s">
        <v>1</v>
      </c>
      <c r="B135" s="3"/>
      <c r="C135" s="3" t="s">
        <v>43</v>
      </c>
      <c r="D135" s="20"/>
      <c r="E135" s="3"/>
      <c r="F135" s="5"/>
    </row>
    <row r="136" spans="1:6" ht="25.5">
      <c r="A136" s="58" t="s">
        <v>4</v>
      </c>
      <c r="B136" s="58" t="s">
        <v>5</v>
      </c>
      <c r="C136" s="58" t="s">
        <v>6</v>
      </c>
      <c r="D136" s="58" t="s">
        <v>7</v>
      </c>
      <c r="E136" s="58" t="s">
        <v>8</v>
      </c>
      <c r="F136" s="58" t="s">
        <v>9</v>
      </c>
    </row>
    <row r="137" spans="1:6">
      <c r="A137" s="8">
        <v>1</v>
      </c>
      <c r="B137" s="9" t="s">
        <v>10</v>
      </c>
      <c r="C137" s="8">
        <v>2</v>
      </c>
      <c r="D137" s="39">
        <v>17649.189999999999</v>
      </c>
      <c r="E137" s="39">
        <v>10137.09</v>
      </c>
      <c r="F137" s="39">
        <v>57.436573576464419</v>
      </c>
    </row>
    <row r="138" spans="1:6">
      <c r="A138" s="8">
        <v>2</v>
      </c>
      <c r="B138" s="9" t="s">
        <v>17</v>
      </c>
      <c r="C138" s="8">
        <v>1</v>
      </c>
      <c r="D138" s="39">
        <v>815.61</v>
      </c>
      <c r="E138" s="39">
        <v>191.89</v>
      </c>
      <c r="F138" s="39">
        <v>23.527175978715313</v>
      </c>
    </row>
    <row r="139" spans="1:6">
      <c r="A139" s="8">
        <v>3</v>
      </c>
      <c r="B139" s="9" t="s">
        <v>12</v>
      </c>
      <c r="C139" s="8">
        <v>1</v>
      </c>
      <c r="D139" s="39">
        <v>1863.82</v>
      </c>
      <c r="E139" s="39">
        <v>1341.67</v>
      </c>
      <c r="F139" s="39">
        <v>71.984955628762449</v>
      </c>
    </row>
    <row r="140" spans="1:6">
      <c r="A140" s="8"/>
      <c r="B140" s="191" t="s">
        <v>13</v>
      </c>
      <c r="C140" s="192">
        <v>4</v>
      </c>
      <c r="D140" s="1078">
        <v>20328.62</v>
      </c>
      <c r="E140" s="1078">
        <v>11670.65</v>
      </c>
      <c r="F140" s="95">
        <v>57.409947158242915</v>
      </c>
    </row>
    <row r="141" spans="1:6" s="741" customFormat="1">
      <c r="A141" s="54"/>
      <c r="B141" s="1075"/>
      <c r="C141" s="950"/>
      <c r="D141" s="56"/>
      <c r="E141" s="56"/>
      <c r="F141" s="53"/>
    </row>
    <row r="142" spans="1:6" s="741" customFormat="1">
      <c r="A142" s="54"/>
      <c r="B142" s="1075"/>
      <c r="C142" s="950"/>
      <c r="D142" s="56"/>
      <c r="E142" s="56"/>
      <c r="F142" s="53"/>
    </row>
    <row r="143" spans="1:6" s="741" customFormat="1">
      <c r="A143" s="54"/>
      <c r="B143" s="1075"/>
      <c r="C143" s="950"/>
      <c r="D143" s="56"/>
      <c r="E143" s="56"/>
      <c r="F143" s="53"/>
    </row>
    <row r="144" spans="1:6" s="741" customFormat="1">
      <c r="A144" s="54"/>
      <c r="B144" s="1075"/>
      <c r="C144" s="950"/>
      <c r="D144" s="56"/>
      <c r="E144" s="56"/>
      <c r="F144" s="53"/>
    </row>
    <row r="145" spans="1:6" s="741" customFormat="1">
      <c r="A145" s="54"/>
      <c r="B145" s="1075"/>
      <c r="C145" s="950"/>
      <c r="D145" s="56"/>
      <c r="E145" s="56"/>
      <c r="F145" s="53"/>
    </row>
    <row r="146" spans="1:6" s="741" customFormat="1">
      <c r="A146" s="54"/>
      <c r="B146" s="1075"/>
      <c r="C146" s="950"/>
      <c r="D146" s="56"/>
      <c r="E146" s="56"/>
      <c r="F146" s="53"/>
    </row>
    <row r="147" spans="1:6" s="741" customFormat="1">
      <c r="A147" s="54"/>
      <c r="B147" s="1075"/>
      <c r="C147" s="950"/>
      <c r="D147" s="56"/>
      <c r="E147" s="56"/>
      <c r="F147" s="53"/>
    </row>
    <row r="148" spans="1:6" s="741" customFormat="1">
      <c r="A148" s="54"/>
      <c r="B148" s="1075"/>
      <c r="C148" s="950"/>
      <c r="D148" s="56"/>
      <c r="E148" s="56"/>
      <c r="F148" s="53"/>
    </row>
    <row r="149" spans="1:6" s="741" customFormat="1">
      <c r="A149" s="54"/>
      <c r="B149" s="1075"/>
      <c r="C149" s="950"/>
      <c r="D149" s="56"/>
      <c r="E149" s="56"/>
      <c r="F149" s="53"/>
    </row>
    <row r="150" spans="1:6" s="741" customFormat="1">
      <c r="A150" s="54"/>
      <c r="B150" s="1075"/>
      <c r="C150" s="950"/>
      <c r="D150" s="56"/>
      <c r="E150" s="56"/>
      <c r="F150" s="53"/>
    </row>
    <row r="151" spans="1:6" s="741" customFormat="1">
      <c r="A151" s="54"/>
      <c r="B151" s="1075"/>
      <c r="C151" s="950"/>
      <c r="D151" s="56"/>
      <c r="E151" s="56"/>
      <c r="F151" s="53"/>
    </row>
    <row r="152" spans="1:6" s="741" customFormat="1">
      <c r="A152" s="54"/>
      <c r="B152" s="1075"/>
      <c r="C152" s="950"/>
      <c r="D152" s="56"/>
      <c r="E152" s="56"/>
      <c r="F152" s="53"/>
    </row>
    <row r="153" spans="1:6" s="741" customFormat="1">
      <c r="A153" s="54"/>
      <c r="B153" s="1075"/>
      <c r="C153" s="950"/>
      <c r="D153" s="56"/>
      <c r="E153" s="56"/>
      <c r="F153" s="53"/>
    </row>
    <row r="154" spans="1:6" s="741" customFormat="1">
      <c r="A154" s="54"/>
      <c r="B154" s="1075"/>
      <c r="C154" s="950"/>
      <c r="D154" s="56"/>
      <c r="E154" s="56"/>
      <c r="F154" s="53"/>
    </row>
    <row r="155" spans="1:6" s="741" customFormat="1">
      <c r="A155" s="54"/>
      <c r="B155" s="1075"/>
      <c r="C155" s="950"/>
      <c r="D155" s="56"/>
      <c r="E155" s="56"/>
      <c r="F155" s="53"/>
    </row>
    <row r="156" spans="1:6" s="741" customFormat="1">
      <c r="A156" s="54"/>
      <c r="B156" s="1075"/>
      <c r="C156" s="950"/>
      <c r="D156" s="56"/>
      <c r="E156" s="56"/>
      <c r="F156" s="53"/>
    </row>
    <row r="157" spans="1:6" s="741" customFormat="1">
      <c r="A157" s="54"/>
      <c r="B157" s="1075"/>
      <c r="C157" s="950"/>
      <c r="D157" s="56"/>
      <c r="E157" s="56"/>
      <c r="F157" s="53"/>
    </row>
    <row r="158" spans="1:6" s="741" customFormat="1">
      <c r="A158" s="54"/>
      <c r="B158" s="1075"/>
      <c r="C158" s="950"/>
      <c r="D158" s="56"/>
      <c r="E158" s="56"/>
      <c r="F158" s="53"/>
    </row>
    <row r="159" spans="1:6" s="741" customFormat="1">
      <c r="A159" s="54"/>
      <c r="B159" s="1075"/>
      <c r="C159" s="950"/>
      <c r="D159" s="56"/>
      <c r="E159" s="56"/>
      <c r="F159" s="53"/>
    </row>
    <row r="160" spans="1:6" s="741" customFormat="1">
      <c r="A160" s="54"/>
      <c r="B160" s="1075"/>
      <c r="C160" s="950"/>
      <c r="D160" s="56"/>
      <c r="E160" s="56"/>
      <c r="F160" s="53"/>
    </row>
    <row r="161" spans="1:6" s="741" customFormat="1">
      <c r="A161" s="54"/>
      <c r="B161" s="1075"/>
      <c r="C161" s="950"/>
      <c r="D161" s="56"/>
      <c r="E161" s="56"/>
      <c r="F161" s="53"/>
    </row>
    <row r="162" spans="1:6" s="741" customFormat="1">
      <c r="A162" s="54"/>
      <c r="B162" s="1075"/>
      <c r="C162" s="950"/>
      <c r="D162" s="56"/>
      <c r="E162" s="56"/>
      <c r="F162" s="53"/>
    </row>
    <row r="163" spans="1:6" s="741" customFormat="1">
      <c r="A163" s="54"/>
      <c r="B163" s="1075"/>
      <c r="C163" s="950"/>
      <c r="D163" s="56"/>
      <c r="E163" s="56"/>
      <c r="F163" s="53"/>
    </row>
    <row r="164" spans="1:6" s="741" customFormat="1">
      <c r="A164" s="54"/>
      <c r="B164" s="1075"/>
      <c r="C164" s="950"/>
      <c r="D164" s="56"/>
      <c r="E164" s="56"/>
      <c r="F164" s="53"/>
    </row>
    <row r="165" spans="1:6" s="741" customFormat="1">
      <c r="A165" s="54"/>
      <c r="B165" s="1075"/>
      <c r="C165" s="950"/>
      <c r="D165" s="56"/>
      <c r="E165" s="56"/>
      <c r="F165" s="53"/>
    </row>
    <row r="166" spans="1:6" s="741" customFormat="1">
      <c r="A166" s="54"/>
      <c r="B166" s="1075"/>
      <c r="C166" s="950"/>
      <c r="D166" s="56"/>
      <c r="E166" s="56"/>
      <c r="F166" s="53"/>
    </row>
    <row r="167" spans="1:6" s="741" customFormat="1">
      <c r="A167" s="54"/>
      <c r="B167" s="1075"/>
      <c r="C167" s="950"/>
      <c r="D167" s="56"/>
      <c r="E167" s="56"/>
      <c r="F167" s="53"/>
    </row>
    <row r="168" spans="1:6" s="741" customFormat="1">
      <c r="A168" s="54"/>
      <c r="B168" s="1075"/>
      <c r="C168" s="950"/>
      <c r="D168" s="56"/>
      <c r="E168" s="56"/>
      <c r="F168" s="53"/>
    </row>
    <row r="169" spans="1:6" s="741" customFormat="1" ht="15.75">
      <c r="A169" s="54"/>
      <c r="B169" s="1075"/>
      <c r="C169" s="1453">
        <v>17</v>
      </c>
      <c r="D169" s="1453"/>
      <c r="E169" s="56"/>
      <c r="F169" s="53"/>
    </row>
    <row r="170" spans="1:6" s="741" customFormat="1">
      <c r="A170" s="54"/>
      <c r="B170" s="1075"/>
      <c r="C170" s="950"/>
      <c r="D170" s="56"/>
      <c r="E170" s="56"/>
      <c r="F170" s="53"/>
    </row>
    <row r="171" spans="1:6">
      <c r="A171" s="3" t="s">
        <v>1</v>
      </c>
      <c r="B171" s="5"/>
      <c r="C171" s="1066" t="s">
        <v>44</v>
      </c>
      <c r="D171" s="20"/>
      <c r="E171" s="19"/>
      <c r="F171" s="28"/>
    </row>
    <row r="172" spans="1:6" ht="25.5">
      <c r="A172" s="58" t="s">
        <v>4</v>
      </c>
      <c r="B172" s="58" t="s">
        <v>5</v>
      </c>
      <c r="C172" s="58" t="s">
        <v>6</v>
      </c>
      <c r="D172" s="59" t="s">
        <v>7</v>
      </c>
      <c r="E172" s="60" t="s">
        <v>8</v>
      </c>
      <c r="F172" s="61" t="s">
        <v>9</v>
      </c>
    </row>
    <row r="173" spans="1:6">
      <c r="A173" s="8">
        <v>1</v>
      </c>
      <c r="B173" s="9" t="s">
        <v>45</v>
      </c>
      <c r="C173" s="75">
        <v>1</v>
      </c>
      <c r="D173" s="1079">
        <v>6939.66</v>
      </c>
      <c r="E173" s="1080">
        <v>5294.89</v>
      </c>
      <c r="F173" s="97">
        <f>E173/D173%</f>
        <v>76.298982947291378</v>
      </c>
    </row>
    <row r="174" spans="1:6">
      <c r="A174" s="8">
        <v>2</v>
      </c>
      <c r="B174" s="9" t="s">
        <v>27</v>
      </c>
      <c r="C174" s="34">
        <v>2</v>
      </c>
      <c r="D174" s="1081">
        <v>29181.33</v>
      </c>
      <c r="E174" s="1082">
        <v>3629.85</v>
      </c>
      <c r="F174" s="97">
        <f t="shared" ref="F174:F200" si="0">E174/D174%</f>
        <v>12.438946408542721</v>
      </c>
    </row>
    <row r="175" spans="1:6">
      <c r="A175" s="8">
        <v>3</v>
      </c>
      <c r="B175" s="9" t="s">
        <v>46</v>
      </c>
      <c r="C175" s="75">
        <v>1</v>
      </c>
      <c r="D175" s="1079">
        <v>7020.46</v>
      </c>
      <c r="E175" s="1080">
        <v>944.63</v>
      </c>
      <c r="F175" s="97">
        <f t="shared" si="0"/>
        <v>13.455386114300202</v>
      </c>
    </row>
    <row r="176" spans="1:6">
      <c r="A176" s="31">
        <v>4</v>
      </c>
      <c r="B176" s="9" t="s">
        <v>32</v>
      </c>
      <c r="C176" s="75">
        <v>2</v>
      </c>
      <c r="D176" s="1079">
        <v>8359.51</v>
      </c>
      <c r="E176" s="1080">
        <v>4685.34</v>
      </c>
      <c r="F176" s="97">
        <f t="shared" si="0"/>
        <v>56.048021953439857</v>
      </c>
    </row>
    <row r="177" spans="1:6">
      <c r="A177" s="31">
        <v>5</v>
      </c>
      <c r="B177" s="9" t="s">
        <v>47</v>
      </c>
      <c r="C177" s="75">
        <v>1</v>
      </c>
      <c r="D177" s="1079">
        <v>4900.49</v>
      </c>
      <c r="E177" s="1080">
        <v>1004.13</v>
      </c>
      <c r="F177" s="97">
        <f t="shared" si="0"/>
        <v>20.490399939597879</v>
      </c>
    </row>
    <row r="178" spans="1:6">
      <c r="A178" s="8">
        <v>6</v>
      </c>
      <c r="B178" s="9" t="s">
        <v>19</v>
      </c>
      <c r="C178" s="34">
        <v>2</v>
      </c>
      <c r="D178" s="1081">
        <v>12605.93</v>
      </c>
      <c r="E178" s="1082">
        <v>6881.82</v>
      </c>
      <c r="F178" s="97">
        <f t="shared" si="0"/>
        <v>54.591926180773648</v>
      </c>
    </row>
    <row r="179" spans="1:6">
      <c r="A179" s="8">
        <v>7</v>
      </c>
      <c r="B179" s="30" t="s">
        <v>17</v>
      </c>
      <c r="C179" s="77">
        <v>1</v>
      </c>
      <c r="D179" s="1079">
        <v>8864</v>
      </c>
      <c r="E179" s="1080">
        <v>1319</v>
      </c>
      <c r="F179" s="97">
        <f t="shared" si="0"/>
        <v>14.880415162454874</v>
      </c>
    </row>
    <row r="180" spans="1:6">
      <c r="A180" s="8">
        <v>8</v>
      </c>
      <c r="B180" s="9" t="s">
        <v>26</v>
      </c>
      <c r="C180" s="75">
        <v>2</v>
      </c>
      <c r="D180" s="1079">
        <v>6567.04</v>
      </c>
      <c r="E180" s="1080">
        <v>4197.99</v>
      </c>
      <c r="F180" s="97">
        <f t="shared" si="0"/>
        <v>63.925147402787246</v>
      </c>
    </row>
    <row r="181" spans="1:6">
      <c r="A181" s="8">
        <v>9</v>
      </c>
      <c r="B181" s="30" t="s">
        <v>48</v>
      </c>
      <c r="C181" s="75">
        <v>2</v>
      </c>
      <c r="D181" s="1083">
        <v>25208.41</v>
      </c>
      <c r="E181" s="1080">
        <v>3651.07</v>
      </c>
      <c r="F181" s="97">
        <f t="shared" si="0"/>
        <v>14.48353942196275</v>
      </c>
    </row>
    <row r="182" spans="1:6">
      <c r="A182" s="8">
        <v>10</v>
      </c>
      <c r="B182" s="9" t="s">
        <v>49</v>
      </c>
      <c r="C182" s="75">
        <v>1</v>
      </c>
      <c r="D182" s="1079">
        <v>9199.27</v>
      </c>
      <c r="E182" s="1079">
        <v>2052.59</v>
      </c>
      <c r="F182" s="97">
        <f t="shared" si="0"/>
        <v>22.312531320419993</v>
      </c>
    </row>
    <row r="183" spans="1:6">
      <c r="A183" s="8">
        <v>11</v>
      </c>
      <c r="B183" s="9" t="s">
        <v>50</v>
      </c>
      <c r="C183" s="34">
        <v>2</v>
      </c>
      <c r="D183" s="39">
        <v>11563.15</v>
      </c>
      <c r="E183" s="39">
        <v>5663.8</v>
      </c>
      <c r="F183" s="97">
        <f t="shared" si="0"/>
        <v>48.981462663720528</v>
      </c>
    </row>
    <row r="184" spans="1:6">
      <c r="A184" s="8">
        <v>12</v>
      </c>
      <c r="B184" s="9" t="s">
        <v>51</v>
      </c>
      <c r="C184" s="75">
        <v>1</v>
      </c>
      <c r="D184" s="1079">
        <v>471.32</v>
      </c>
      <c r="E184" s="1079">
        <v>353.38</v>
      </c>
      <c r="F184" s="97">
        <f t="shared" si="0"/>
        <v>74.976661291691428</v>
      </c>
    </row>
    <row r="185" spans="1:6">
      <c r="A185" s="8">
        <v>13</v>
      </c>
      <c r="B185" s="9" t="s">
        <v>52</v>
      </c>
      <c r="C185" s="75">
        <v>1</v>
      </c>
      <c r="D185" s="1079">
        <v>2352.65</v>
      </c>
      <c r="E185" s="1079">
        <v>656.67</v>
      </c>
      <c r="F185" s="97">
        <f t="shared" si="0"/>
        <v>27.911929101226271</v>
      </c>
    </row>
    <row r="186" spans="1:6">
      <c r="A186" s="8">
        <v>14</v>
      </c>
      <c r="B186" s="9" t="s">
        <v>28</v>
      </c>
      <c r="C186" s="75">
        <v>2</v>
      </c>
      <c r="D186" s="1079">
        <v>17563.13</v>
      </c>
      <c r="E186" s="1079">
        <v>8304.6200000000008</v>
      </c>
      <c r="F186" s="97">
        <f t="shared" si="0"/>
        <v>47.284396346209363</v>
      </c>
    </row>
    <row r="187" spans="1:6">
      <c r="A187" s="8">
        <v>15</v>
      </c>
      <c r="B187" s="29" t="s">
        <v>10</v>
      </c>
      <c r="C187" s="34">
        <v>9</v>
      </c>
      <c r="D187" s="44">
        <v>311955.73</v>
      </c>
      <c r="E187" s="45">
        <v>91622.43</v>
      </c>
      <c r="F187" s="97">
        <f t="shared" si="0"/>
        <v>29.370330847905887</v>
      </c>
    </row>
    <row r="188" spans="1:6">
      <c r="A188" s="8">
        <v>16</v>
      </c>
      <c r="B188" s="74" t="s">
        <v>53</v>
      </c>
      <c r="C188" s="75">
        <v>2</v>
      </c>
      <c r="D188" s="1079">
        <v>3383.97</v>
      </c>
      <c r="E188" s="1079">
        <v>1465.3</v>
      </c>
      <c r="F188" s="97">
        <f t="shared" si="0"/>
        <v>43.301211299154538</v>
      </c>
    </row>
    <row r="189" spans="1:6">
      <c r="A189" s="8">
        <v>17</v>
      </c>
      <c r="B189" s="30" t="s">
        <v>35</v>
      </c>
      <c r="C189" s="77">
        <v>2</v>
      </c>
      <c r="D189" s="1079">
        <v>9906</v>
      </c>
      <c r="E189" s="1079">
        <v>4123</v>
      </c>
      <c r="F189" s="97">
        <f t="shared" si="0"/>
        <v>41.621239652735717</v>
      </c>
    </row>
    <row r="190" spans="1:6">
      <c r="A190" s="8">
        <v>18</v>
      </c>
      <c r="B190" s="30" t="s">
        <v>54</v>
      </c>
      <c r="C190" s="75">
        <v>2</v>
      </c>
      <c r="D190" s="40">
        <v>13574.88</v>
      </c>
      <c r="E190" s="40">
        <v>8023.25</v>
      </c>
      <c r="F190" s="97">
        <f t="shared" si="0"/>
        <v>59.103653218297332</v>
      </c>
    </row>
    <row r="191" spans="1:6">
      <c r="A191" s="8">
        <v>19</v>
      </c>
      <c r="B191" s="9" t="s">
        <v>55</v>
      </c>
      <c r="C191" s="34">
        <v>1</v>
      </c>
      <c r="D191" s="1084">
        <v>6485.35</v>
      </c>
      <c r="E191" s="1084">
        <v>782.29</v>
      </c>
      <c r="F191" s="97">
        <f t="shared" si="0"/>
        <v>12.062417602750815</v>
      </c>
    </row>
    <row r="192" spans="1:6">
      <c r="A192" s="8">
        <v>20</v>
      </c>
      <c r="B192" s="30" t="s">
        <v>56</v>
      </c>
      <c r="C192" s="75">
        <v>3</v>
      </c>
      <c r="D192" s="40">
        <v>117260</v>
      </c>
      <c r="E192" s="40">
        <v>16208</v>
      </c>
      <c r="F192" s="97">
        <f t="shared" si="0"/>
        <v>13.822275285689921</v>
      </c>
    </row>
    <row r="193" spans="1:6">
      <c r="A193" s="8">
        <v>21</v>
      </c>
      <c r="B193" s="74" t="s">
        <v>57</v>
      </c>
      <c r="C193" s="75">
        <v>1</v>
      </c>
      <c r="D193" s="1079">
        <v>43.12</v>
      </c>
      <c r="E193" s="1079">
        <v>0</v>
      </c>
      <c r="F193" s="97">
        <f t="shared" si="0"/>
        <v>0</v>
      </c>
    </row>
    <row r="194" spans="1:6">
      <c r="A194" s="8">
        <v>22</v>
      </c>
      <c r="B194" s="9" t="s">
        <v>58</v>
      </c>
      <c r="C194" s="75">
        <v>1</v>
      </c>
      <c r="D194" s="1085">
        <v>2290.39</v>
      </c>
      <c r="E194" s="1085">
        <v>743.08</v>
      </c>
      <c r="F194" s="97">
        <f t="shared" si="0"/>
        <v>32.443383004641134</v>
      </c>
    </row>
    <row r="195" spans="1:6">
      <c r="A195" s="8">
        <v>23</v>
      </c>
      <c r="B195" s="9" t="s">
        <v>59</v>
      </c>
      <c r="C195" s="75">
        <v>1</v>
      </c>
      <c r="D195" s="1085">
        <v>662</v>
      </c>
      <c r="E195" s="1085">
        <v>0</v>
      </c>
      <c r="F195" s="97">
        <f t="shared" si="0"/>
        <v>0</v>
      </c>
    </row>
    <row r="196" spans="1:6">
      <c r="A196" s="8">
        <v>24</v>
      </c>
      <c r="B196" s="9" t="s">
        <v>60</v>
      </c>
      <c r="C196" s="34">
        <v>1</v>
      </c>
      <c r="D196" s="1086">
        <v>792</v>
      </c>
      <c r="E196" s="1086">
        <v>5</v>
      </c>
      <c r="F196" s="97">
        <f t="shared" si="0"/>
        <v>0.63131313131313127</v>
      </c>
    </row>
    <row r="197" spans="1:6">
      <c r="A197" s="12" t="s">
        <v>61</v>
      </c>
      <c r="B197" s="12" t="s">
        <v>62</v>
      </c>
      <c r="C197" s="13">
        <v>44</v>
      </c>
      <c r="D197" s="1087">
        <v>617149.78999999992</v>
      </c>
      <c r="E197" s="1087">
        <v>171612.12999999998</v>
      </c>
      <c r="F197" s="97">
        <f t="shared" si="0"/>
        <v>27.807208684296885</v>
      </c>
    </row>
    <row r="198" spans="1:6">
      <c r="A198" s="8">
        <v>25</v>
      </c>
      <c r="B198" s="74" t="s">
        <v>16</v>
      </c>
      <c r="C198" s="73">
        <v>4</v>
      </c>
      <c r="D198" s="1088">
        <v>15061.97</v>
      </c>
      <c r="E198" s="40">
        <v>6256.25</v>
      </c>
      <c r="F198" s="97">
        <f t="shared" si="0"/>
        <v>41.536731250958539</v>
      </c>
    </row>
    <row r="199" spans="1:6">
      <c r="A199" s="8">
        <v>26</v>
      </c>
      <c r="B199" s="9" t="s">
        <v>12</v>
      </c>
      <c r="C199" s="8">
        <v>8</v>
      </c>
      <c r="D199" s="44">
        <v>4387.9399999999996</v>
      </c>
      <c r="E199" s="39">
        <v>16444.11</v>
      </c>
      <c r="F199" s="97">
        <f t="shared" si="0"/>
        <v>374.75694745142374</v>
      </c>
    </row>
    <row r="200" spans="1:6">
      <c r="A200" s="13">
        <v>26</v>
      </c>
      <c r="B200" s="93" t="s">
        <v>63</v>
      </c>
      <c r="C200" s="94">
        <v>56</v>
      </c>
      <c r="D200" s="95">
        <v>636599.69999999984</v>
      </c>
      <c r="E200" s="95">
        <v>194312.49</v>
      </c>
      <c r="F200" s="97">
        <f t="shared" si="0"/>
        <v>30.523496947925054</v>
      </c>
    </row>
    <row r="201" spans="1:6">
      <c r="A201" s="15"/>
      <c r="B201" s="16" t="s">
        <v>119</v>
      </c>
      <c r="C201" s="1028"/>
      <c r="D201" s="742"/>
      <c r="E201" s="346">
        <v>52383.17</v>
      </c>
      <c r="F201" s="749"/>
    </row>
    <row r="202" spans="1:6">
      <c r="A202" s="15"/>
      <c r="B202" s="16" t="s">
        <v>117</v>
      </c>
      <c r="C202" s="1028"/>
      <c r="D202" s="742"/>
      <c r="E202" s="346">
        <v>8914.66</v>
      </c>
      <c r="F202" s="749"/>
    </row>
    <row r="203" spans="1:6">
      <c r="A203" s="1464" t="s">
        <v>206</v>
      </c>
      <c r="B203" s="1465"/>
      <c r="C203" s="1382">
        <f>SUM(C200:C202)</f>
        <v>56</v>
      </c>
      <c r="D203" s="1383">
        <f>SUM(D200:D202)</f>
        <v>636599.69999999984</v>
      </c>
      <c r="E203" s="1383">
        <f>SUM(E200:E202)</f>
        <v>255610.31999999998</v>
      </c>
      <c r="F203" s="749">
        <f t="shared" ref="F203" si="1">E203/D203%</f>
        <v>40.152441165146641</v>
      </c>
    </row>
    <row r="204" spans="1:6" s="741" customFormat="1">
      <c r="A204" s="1384"/>
      <c r="B204" s="1384"/>
      <c r="C204" s="1385"/>
      <c r="D204" s="1386"/>
      <c r="E204" s="1386"/>
      <c r="F204" s="1387"/>
    </row>
    <row r="205" spans="1:6" s="741" customFormat="1">
      <c r="A205" s="1027"/>
      <c r="B205" s="1027"/>
      <c r="C205" s="33"/>
      <c r="D205" s="19"/>
      <c r="E205" s="19"/>
      <c r="F205" s="28"/>
    </row>
    <row r="206" spans="1:6" s="741" customFormat="1">
      <c r="A206" s="1027"/>
      <c r="B206" s="1027"/>
      <c r="C206" s="33"/>
      <c r="D206" s="19"/>
      <c r="E206" s="19"/>
      <c r="F206" s="28"/>
    </row>
    <row r="207" spans="1:6" s="741" customFormat="1">
      <c r="A207" s="1027"/>
      <c r="B207" s="1027"/>
      <c r="C207" s="33"/>
      <c r="D207" s="19"/>
      <c r="E207" s="19"/>
      <c r="F207" s="28"/>
    </row>
    <row r="208" spans="1:6" s="741" customFormat="1">
      <c r="A208" s="1027"/>
      <c r="B208" s="1027"/>
      <c r="C208" s="33"/>
      <c r="D208" s="19"/>
      <c r="E208" s="19"/>
      <c r="F208" s="28"/>
    </row>
    <row r="209" spans="1:6" s="741" customFormat="1">
      <c r="A209" s="1027"/>
      <c r="B209" s="1027"/>
      <c r="C209" s="33"/>
      <c r="D209" s="19"/>
      <c r="E209" s="19"/>
      <c r="F209" s="28"/>
    </row>
    <row r="210" spans="1:6" s="741" customFormat="1">
      <c r="A210" s="1027"/>
      <c r="B210" s="1027"/>
      <c r="C210" s="33"/>
      <c r="D210" s="19"/>
      <c r="E210" s="19"/>
      <c r="F210" s="28"/>
    </row>
    <row r="211" spans="1:6" s="741" customFormat="1">
      <c r="A211" s="1027"/>
      <c r="B211" s="1027"/>
      <c r="C211" s="33"/>
      <c r="D211" s="19"/>
      <c r="E211" s="19"/>
      <c r="F211" s="28"/>
    </row>
    <row r="212" spans="1:6" s="741" customFormat="1">
      <c r="A212" s="1027"/>
      <c r="B212" s="1027"/>
      <c r="C212" s="33"/>
      <c r="D212" s="19"/>
      <c r="E212" s="19"/>
      <c r="F212" s="28"/>
    </row>
    <row r="213" spans="1:6" s="741" customFormat="1">
      <c r="A213" s="1027"/>
      <c r="B213" s="1027"/>
      <c r="C213" s="33"/>
      <c r="D213" s="19"/>
      <c r="E213" s="19"/>
      <c r="F213" s="28"/>
    </row>
    <row r="214" spans="1:6" s="741" customFormat="1" ht="15.75">
      <c r="A214" s="1027"/>
      <c r="B214" s="1027"/>
      <c r="C214" s="1454">
        <v>18</v>
      </c>
      <c r="D214" s="1454"/>
      <c r="E214" s="19"/>
      <c r="F214" s="28"/>
    </row>
    <row r="215" spans="1:6">
      <c r="A215" s="1466" t="s">
        <v>64</v>
      </c>
      <c r="B215" s="1466"/>
      <c r="C215" s="1466"/>
      <c r="D215" s="1466"/>
      <c r="E215" s="1466"/>
      <c r="F215" s="1466"/>
    </row>
    <row r="216" spans="1:6">
      <c r="A216" s="1467" t="s">
        <v>65</v>
      </c>
      <c r="B216" s="1468"/>
      <c r="C216" s="62" t="s">
        <v>66</v>
      </c>
      <c r="D216" s="63" t="s">
        <v>67</v>
      </c>
      <c r="E216" s="63" t="s">
        <v>68</v>
      </c>
      <c r="F216" s="63" t="s">
        <v>69</v>
      </c>
    </row>
    <row r="217" spans="1:6">
      <c r="A217" s="1455" t="s">
        <v>40</v>
      </c>
      <c r="B217" s="1455"/>
      <c r="C217" s="179">
        <v>4</v>
      </c>
      <c r="D217" s="180">
        <v>35381.74</v>
      </c>
      <c r="E217" s="180">
        <v>9080.86</v>
      </c>
      <c r="F217" s="1089">
        <f>E217/D217%</f>
        <v>25.665385591550901</v>
      </c>
    </row>
    <row r="218" spans="1:6">
      <c r="A218" s="1455" t="s">
        <v>70</v>
      </c>
      <c r="B218" s="1455"/>
      <c r="C218" s="179">
        <v>3</v>
      </c>
      <c r="D218" s="180">
        <v>10610.44</v>
      </c>
      <c r="E218" s="180">
        <v>2787.6</v>
      </c>
      <c r="F218" s="1089">
        <f t="shared" ref="F218:F237" si="2">E218/D218%</f>
        <v>26.272237532091033</v>
      </c>
    </row>
    <row r="219" spans="1:6">
      <c r="A219" s="1455" t="s">
        <v>38</v>
      </c>
      <c r="B219" s="1455"/>
      <c r="C219" s="179">
        <v>9</v>
      </c>
      <c r="D219" s="180">
        <v>53259.7</v>
      </c>
      <c r="E219" s="180">
        <v>9560.84</v>
      </c>
      <c r="F219" s="1089">
        <f t="shared" si="2"/>
        <v>17.951359095150742</v>
      </c>
    </row>
    <row r="220" spans="1:6">
      <c r="A220" s="1455" t="s">
        <v>33</v>
      </c>
      <c r="B220" s="1455"/>
      <c r="C220" s="179">
        <v>6</v>
      </c>
      <c r="D220" s="180">
        <v>36628.710000000006</v>
      </c>
      <c r="E220" s="180">
        <v>11098.59</v>
      </c>
      <c r="F220" s="1089">
        <f t="shared" si="2"/>
        <v>30.300248084084856</v>
      </c>
    </row>
    <row r="221" spans="1:6">
      <c r="A221" s="1455" t="s">
        <v>34</v>
      </c>
      <c r="B221" s="1455"/>
      <c r="C221" s="179">
        <v>8</v>
      </c>
      <c r="D221" s="180">
        <v>32381.48</v>
      </c>
      <c r="E221" s="180">
        <v>7747.670000000001</v>
      </c>
      <c r="F221" s="1089">
        <f t="shared" si="2"/>
        <v>23.926238084238278</v>
      </c>
    </row>
    <row r="222" spans="1:6">
      <c r="A222" s="1459" t="s">
        <v>37</v>
      </c>
      <c r="B222" s="1459"/>
      <c r="C222" s="179">
        <v>2</v>
      </c>
      <c r="D222" s="180">
        <v>8986.68</v>
      </c>
      <c r="E222" s="180">
        <v>1313.64</v>
      </c>
      <c r="F222" s="1089">
        <f t="shared" si="2"/>
        <v>14.61763409846573</v>
      </c>
    </row>
    <row r="223" spans="1:6">
      <c r="A223" s="1455" t="s">
        <v>30</v>
      </c>
      <c r="B223" s="1455"/>
      <c r="C223" s="179">
        <v>2</v>
      </c>
      <c r="D223" s="180">
        <v>6807.7900000000009</v>
      </c>
      <c r="E223" s="180">
        <v>1418.91</v>
      </c>
      <c r="F223" s="1089">
        <f t="shared" si="2"/>
        <v>20.842446667714484</v>
      </c>
    </row>
    <row r="224" spans="1:6">
      <c r="A224" s="1455" t="s">
        <v>31</v>
      </c>
      <c r="B224" s="1455"/>
      <c r="C224" s="179">
        <v>6</v>
      </c>
      <c r="D224" s="1089">
        <v>30108.009999999995</v>
      </c>
      <c r="E224" s="1089">
        <v>6122.39</v>
      </c>
      <c r="F224" s="1089">
        <f t="shared" si="2"/>
        <v>20.334754771238622</v>
      </c>
    </row>
    <row r="225" spans="1:7">
      <c r="A225" s="1459" t="s">
        <v>25</v>
      </c>
      <c r="B225" s="1459"/>
      <c r="C225" s="179">
        <v>17</v>
      </c>
      <c r="D225" s="1089">
        <v>94959.59</v>
      </c>
      <c r="E225" s="1089">
        <v>24852.169999999995</v>
      </c>
      <c r="F225" s="1089">
        <f t="shared" si="2"/>
        <v>26.17131139677414</v>
      </c>
    </row>
    <row r="226" spans="1:7">
      <c r="A226" s="1459" t="s">
        <v>21</v>
      </c>
      <c r="B226" s="1459"/>
      <c r="C226" s="179">
        <v>16</v>
      </c>
      <c r="D226" s="1089">
        <v>83822.12999999999</v>
      </c>
      <c r="E226" s="1089">
        <v>24888.11</v>
      </c>
      <c r="F226" s="1089">
        <f t="shared" si="2"/>
        <v>29.691574289510424</v>
      </c>
    </row>
    <row r="227" spans="1:7">
      <c r="A227" s="1459" t="s">
        <v>20</v>
      </c>
      <c r="B227" s="1459"/>
      <c r="C227" s="179">
        <v>7</v>
      </c>
      <c r="D227" s="1089">
        <v>23029.77</v>
      </c>
      <c r="E227" s="1089">
        <v>4839.1900000000005</v>
      </c>
      <c r="F227" s="1089">
        <f t="shared" si="2"/>
        <v>21.012758703191569</v>
      </c>
    </row>
    <row r="228" spans="1:7">
      <c r="A228" s="1459" t="s">
        <v>29</v>
      </c>
      <c r="B228" s="1459"/>
      <c r="C228" s="179">
        <v>4</v>
      </c>
      <c r="D228" s="1089">
        <v>10188.280000000001</v>
      </c>
      <c r="E228" s="1089">
        <v>1035</v>
      </c>
      <c r="F228" s="1089">
        <f t="shared" si="2"/>
        <v>10.158731405104689</v>
      </c>
    </row>
    <row r="229" spans="1:7">
      <c r="A229" s="1459" t="s">
        <v>15</v>
      </c>
      <c r="B229" s="1459"/>
      <c r="C229" s="179">
        <v>7</v>
      </c>
      <c r="D229" s="1089">
        <v>34736.39</v>
      </c>
      <c r="E229" s="1089">
        <v>13877.009999999998</v>
      </c>
      <c r="F229" s="1089">
        <f t="shared" si="2"/>
        <v>39.949488130459144</v>
      </c>
    </row>
    <row r="230" spans="1:7">
      <c r="A230" s="1459" t="s">
        <v>18</v>
      </c>
      <c r="B230" s="1459"/>
      <c r="C230" s="179">
        <v>11</v>
      </c>
      <c r="D230" s="1089">
        <v>47632.160000000003</v>
      </c>
      <c r="E230" s="1089">
        <v>19903.170000000002</v>
      </c>
      <c r="F230" s="1089">
        <f t="shared" si="2"/>
        <v>41.785151040809403</v>
      </c>
    </row>
    <row r="231" spans="1:7">
      <c r="A231" s="1459" t="s">
        <v>2</v>
      </c>
      <c r="B231" s="1459"/>
      <c r="C231" s="179">
        <v>4</v>
      </c>
      <c r="D231" s="1089">
        <v>10399.700000000001</v>
      </c>
      <c r="E231" s="1089">
        <v>2890.92</v>
      </c>
      <c r="F231" s="1089">
        <f t="shared" si="2"/>
        <v>27.798109560852716</v>
      </c>
    </row>
    <row r="232" spans="1:7">
      <c r="A232" s="1459" t="s">
        <v>14</v>
      </c>
      <c r="B232" s="1459"/>
      <c r="C232" s="179">
        <v>1</v>
      </c>
      <c r="D232" s="1089">
        <v>6001.26</v>
      </c>
      <c r="E232" s="1089">
        <v>1297.79</v>
      </c>
      <c r="F232" s="1089">
        <f t="shared" si="2"/>
        <v>21.625292022008711</v>
      </c>
    </row>
    <row r="233" spans="1:7">
      <c r="A233" s="1460" t="s">
        <v>43</v>
      </c>
      <c r="B233" s="1460"/>
      <c r="C233" s="179">
        <v>4</v>
      </c>
      <c r="D233" s="1089">
        <v>20328.62</v>
      </c>
      <c r="E233" s="1089">
        <v>11670.65</v>
      </c>
      <c r="F233" s="1089">
        <f t="shared" si="2"/>
        <v>57.409947158242915</v>
      </c>
    </row>
    <row r="234" spans="1:7">
      <c r="A234" s="1455" t="s">
        <v>42</v>
      </c>
      <c r="B234" s="1455"/>
      <c r="C234" s="179">
        <v>13</v>
      </c>
      <c r="D234" s="1089">
        <v>76531.399999999994</v>
      </c>
      <c r="E234" s="1089">
        <v>13806.17</v>
      </c>
      <c r="F234" s="1089">
        <f t="shared" si="2"/>
        <v>18.039876442871815</v>
      </c>
    </row>
    <row r="235" spans="1:7">
      <c r="A235" s="1455" t="s">
        <v>41</v>
      </c>
      <c r="B235" s="1455"/>
      <c r="C235" s="90">
        <v>9</v>
      </c>
      <c r="D235" s="91">
        <v>95219.76999999999</v>
      </c>
      <c r="E235" s="91">
        <v>8160.5100000000011</v>
      </c>
      <c r="F235" s="1089">
        <f t="shared" si="2"/>
        <v>8.5701845320567376</v>
      </c>
      <c r="G235" s="345"/>
    </row>
    <row r="236" spans="1:7">
      <c r="A236" s="1455" t="s">
        <v>44</v>
      </c>
      <c r="B236" s="1455"/>
      <c r="C236" s="90">
        <f>C203</f>
        <v>56</v>
      </c>
      <c r="D236" s="1413">
        <f t="shared" ref="D236:E236" si="3">D203</f>
        <v>636599.69999999984</v>
      </c>
      <c r="E236" s="1413">
        <f t="shared" si="3"/>
        <v>255610.31999999998</v>
      </c>
      <c r="F236" s="1089">
        <f t="shared" si="2"/>
        <v>40.152441165146641</v>
      </c>
      <c r="G236" s="345"/>
    </row>
    <row r="237" spans="1:7" s="668" customFormat="1">
      <c r="A237" s="1456" t="s">
        <v>73</v>
      </c>
      <c r="B237" s="1456"/>
      <c r="C237" s="1407">
        <f>SUM(C217:C236)</f>
        <v>189</v>
      </c>
      <c r="D237" s="1407">
        <f t="shared" ref="D237:E237" si="4">SUM(D217:D236)</f>
        <v>1353613.3199999998</v>
      </c>
      <c r="E237" s="1407">
        <f t="shared" si="4"/>
        <v>431961.51</v>
      </c>
      <c r="F237" s="1408">
        <f t="shared" si="2"/>
        <v>31.911736063590158</v>
      </c>
      <c r="G237" s="925"/>
    </row>
    <row r="238" spans="1:7" s="741" customFormat="1">
      <c r="A238" s="33"/>
      <c r="B238" s="33"/>
      <c r="C238" s="33"/>
      <c r="D238" s="57"/>
      <c r="E238" s="57"/>
      <c r="F238" s="28"/>
      <c r="G238" s="345"/>
    </row>
    <row r="239" spans="1:7" s="741" customFormat="1">
      <c r="A239" s="33"/>
      <c r="B239" s="33"/>
      <c r="C239" s="1388"/>
      <c r="D239" s="1389"/>
      <c r="E239" s="1389"/>
      <c r="F239" s="1390"/>
    </row>
    <row r="240" spans="1:7" s="741" customFormat="1">
      <c r="A240" s="33"/>
      <c r="B240" s="33"/>
      <c r="C240" s="1388"/>
      <c r="D240" s="1389"/>
      <c r="E240" s="1389"/>
      <c r="F240" s="1390"/>
    </row>
    <row r="241" spans="1:6" s="741" customFormat="1">
      <c r="A241" s="33"/>
      <c r="B241" s="33"/>
      <c r="C241" s="1388"/>
      <c r="D241" s="1389"/>
      <c r="E241" s="1389"/>
      <c r="F241" s="1390"/>
    </row>
    <row r="242" spans="1:6" s="741" customFormat="1">
      <c r="A242" s="33"/>
      <c r="B242" s="33"/>
      <c r="C242" s="1388"/>
      <c r="D242" s="1389"/>
      <c r="E242" s="1389"/>
      <c r="F242" s="1390"/>
    </row>
    <row r="243" spans="1:6" s="741" customFormat="1">
      <c r="A243" s="33"/>
      <c r="B243" s="33"/>
      <c r="C243" s="1388"/>
      <c r="D243" s="1389"/>
      <c r="E243" s="1389"/>
      <c r="F243" s="1390"/>
    </row>
    <row r="244" spans="1:6" s="741" customFormat="1">
      <c r="A244" s="33"/>
      <c r="B244" s="33"/>
      <c r="C244" s="1388"/>
      <c r="D244" s="1389"/>
      <c r="E244" s="1389"/>
      <c r="F244" s="1390"/>
    </row>
    <row r="245" spans="1:6" s="741" customFormat="1">
      <c r="A245" s="33"/>
      <c r="B245" s="33"/>
      <c r="C245" s="1388"/>
      <c r="D245" s="1389"/>
      <c r="E245" s="1389"/>
      <c r="F245" s="1390"/>
    </row>
    <row r="246" spans="1:6" s="741" customFormat="1">
      <c r="A246" s="33"/>
      <c r="B246" s="33"/>
      <c r="C246" s="1388"/>
      <c r="D246" s="1389"/>
      <c r="E246" s="1389"/>
      <c r="F246" s="1390"/>
    </row>
    <row r="247" spans="1:6" s="741" customFormat="1">
      <c r="A247" s="33"/>
      <c r="B247" s="33"/>
      <c r="C247" s="1388"/>
      <c r="D247" s="1389"/>
      <c r="E247" s="1389"/>
      <c r="F247" s="1390"/>
    </row>
    <row r="248" spans="1:6" s="741" customFormat="1">
      <c r="A248" s="33"/>
      <c r="B248" s="33"/>
      <c r="C248" s="1388"/>
      <c r="D248" s="1389"/>
      <c r="E248" s="1389"/>
      <c r="F248" s="1390"/>
    </row>
    <row r="249" spans="1:6" s="741" customFormat="1">
      <c r="A249" s="33"/>
      <c r="B249" s="33"/>
      <c r="C249" s="1388"/>
      <c r="D249" s="1389"/>
      <c r="E249" s="1389"/>
      <c r="F249" s="1390"/>
    </row>
    <row r="250" spans="1:6" s="741" customFormat="1">
      <c r="A250" s="33"/>
      <c r="B250" s="33"/>
      <c r="C250" s="1388"/>
      <c r="D250" s="1389"/>
      <c r="E250" s="1389"/>
      <c r="F250" s="1390"/>
    </row>
    <row r="251" spans="1:6" s="741" customFormat="1">
      <c r="A251" s="33"/>
      <c r="B251" s="33"/>
      <c r="C251" s="1388"/>
      <c r="D251" s="1389"/>
      <c r="E251" s="1389"/>
      <c r="F251" s="1390"/>
    </row>
    <row r="252" spans="1:6" s="741" customFormat="1">
      <c r="A252" s="33"/>
      <c r="B252" s="33"/>
      <c r="C252" s="1388"/>
      <c r="D252" s="1389"/>
      <c r="E252" s="1389"/>
      <c r="F252" s="1390"/>
    </row>
    <row r="253" spans="1:6" s="741" customFormat="1">
      <c r="A253" s="33"/>
      <c r="B253" s="33"/>
      <c r="C253" s="1388"/>
      <c r="D253" s="1389"/>
      <c r="E253" s="1389"/>
      <c r="F253" s="1390"/>
    </row>
    <row r="254" spans="1:6" s="741" customFormat="1">
      <c r="A254" s="33"/>
      <c r="B254" s="33"/>
      <c r="C254" s="1388"/>
      <c r="D254" s="1389"/>
      <c r="E254" s="1389"/>
      <c r="F254" s="1390"/>
    </row>
    <row r="255" spans="1:6">
      <c r="A255" s="33"/>
      <c r="B255" s="33"/>
      <c r="C255" s="33"/>
      <c r="D255" s="57"/>
      <c r="E255" s="57"/>
      <c r="F255" s="28"/>
    </row>
    <row r="256" spans="1:6">
      <c r="A256" s="33"/>
      <c r="B256" s="33"/>
      <c r="C256" s="33"/>
      <c r="D256" s="57"/>
      <c r="E256" s="57"/>
      <c r="F256" s="28"/>
    </row>
    <row r="257" spans="1:6">
      <c r="A257" s="33"/>
      <c r="B257" s="33"/>
      <c r="C257" s="33"/>
      <c r="D257" s="57"/>
      <c r="E257" s="57"/>
      <c r="F257" s="28"/>
    </row>
    <row r="258" spans="1:6">
      <c r="A258" s="33"/>
      <c r="B258" s="33"/>
      <c r="C258" s="33"/>
      <c r="D258" s="57"/>
      <c r="E258" s="57"/>
      <c r="F258" s="28"/>
    </row>
    <row r="259" spans="1:6" ht="15.75">
      <c r="A259" s="1457">
        <v>19</v>
      </c>
      <c r="B259" s="1457"/>
      <c r="C259" s="1457"/>
      <c r="D259" s="1457"/>
      <c r="E259" s="1457"/>
      <c r="F259" s="1457"/>
    </row>
    <row r="260" spans="1:6">
      <c r="A260" s="1458" t="s">
        <v>74</v>
      </c>
      <c r="B260" s="1458"/>
      <c r="C260" s="1458"/>
      <c r="D260" s="1458"/>
      <c r="E260" s="1458"/>
      <c r="F260" s="1458"/>
    </row>
    <row r="261" spans="1:6" ht="25.5">
      <c r="A261" s="61" t="s">
        <v>4</v>
      </c>
      <c r="B261" s="61" t="s">
        <v>5</v>
      </c>
      <c r="C261" s="61" t="s">
        <v>6</v>
      </c>
      <c r="D261" s="61" t="s">
        <v>7</v>
      </c>
      <c r="E261" s="61" t="s">
        <v>8</v>
      </c>
      <c r="F261" s="61" t="s">
        <v>9</v>
      </c>
    </row>
    <row r="262" spans="1:6">
      <c r="A262" s="25">
        <v>1</v>
      </c>
      <c r="B262" s="87" t="s">
        <v>45</v>
      </c>
      <c r="C262" s="88">
        <v>1</v>
      </c>
      <c r="D262" s="89">
        <v>6939.66</v>
      </c>
      <c r="E262" s="89">
        <v>5294.89</v>
      </c>
      <c r="F262" s="89">
        <v>76.298982947291378</v>
      </c>
    </row>
    <row r="263" spans="1:6">
      <c r="A263" s="25">
        <v>2</v>
      </c>
      <c r="B263" s="87" t="s">
        <v>27</v>
      </c>
      <c r="C263" s="1051">
        <v>3</v>
      </c>
      <c r="D263" s="89">
        <v>30400.280000000002</v>
      </c>
      <c r="E263" s="89">
        <v>3968.3199999999997</v>
      </c>
      <c r="F263" s="89">
        <v>13.053563980331758</v>
      </c>
    </row>
    <row r="264" spans="1:6">
      <c r="A264" s="25">
        <v>3</v>
      </c>
      <c r="B264" s="87" t="s">
        <v>46</v>
      </c>
      <c r="C264" s="88">
        <v>1</v>
      </c>
      <c r="D264" s="89">
        <v>7020.46</v>
      </c>
      <c r="E264" s="89">
        <v>944.63</v>
      </c>
      <c r="F264" s="89">
        <v>13.455386114300202</v>
      </c>
    </row>
    <row r="265" spans="1:6">
      <c r="A265" s="1026">
        <v>4</v>
      </c>
      <c r="B265" s="87" t="s">
        <v>32</v>
      </c>
      <c r="C265" s="88">
        <v>5</v>
      </c>
      <c r="D265" s="89">
        <v>12462.539999999999</v>
      </c>
      <c r="E265" s="89">
        <v>5024.2400000000007</v>
      </c>
      <c r="F265" s="89">
        <v>40.314735198442705</v>
      </c>
    </row>
    <row r="266" spans="1:6">
      <c r="A266" s="1026">
        <v>5</v>
      </c>
      <c r="B266" s="87" t="s">
        <v>47</v>
      </c>
      <c r="C266" s="88">
        <v>1</v>
      </c>
      <c r="D266" s="89">
        <v>4900.49</v>
      </c>
      <c r="E266" s="89">
        <v>1004.13</v>
      </c>
      <c r="F266" s="89">
        <v>20.490399939597879</v>
      </c>
    </row>
    <row r="267" spans="1:6">
      <c r="A267" s="1026">
        <v>6</v>
      </c>
      <c r="B267" s="87" t="s">
        <v>19</v>
      </c>
      <c r="C267" s="1051">
        <v>8</v>
      </c>
      <c r="D267" s="89">
        <v>19068.019999999997</v>
      </c>
      <c r="E267" s="89">
        <v>10430.509999999998</v>
      </c>
      <c r="F267" s="89">
        <v>54.701589362713072</v>
      </c>
    </row>
    <row r="268" spans="1:6">
      <c r="A268" s="25">
        <v>7</v>
      </c>
      <c r="B268" s="87" t="s">
        <v>17</v>
      </c>
      <c r="C268" s="1051">
        <v>8</v>
      </c>
      <c r="D268" s="89">
        <v>21370.480000000003</v>
      </c>
      <c r="E268" s="89">
        <v>4193.83</v>
      </c>
      <c r="F268" s="89">
        <v>19.62440712609169</v>
      </c>
    </row>
    <row r="269" spans="1:6">
      <c r="A269" s="25">
        <v>8</v>
      </c>
      <c r="B269" s="87" t="s">
        <v>26</v>
      </c>
      <c r="C269" s="88">
        <v>5</v>
      </c>
      <c r="D269" s="89">
        <v>13838.380000000001</v>
      </c>
      <c r="E269" s="89">
        <v>7818.7699999999986</v>
      </c>
      <c r="F269" s="89">
        <v>56.500616401630815</v>
      </c>
    </row>
    <row r="270" spans="1:6">
      <c r="A270" s="25">
        <v>9</v>
      </c>
      <c r="B270" s="87" t="s">
        <v>48</v>
      </c>
      <c r="C270" s="88">
        <v>6</v>
      </c>
      <c r="D270" s="89">
        <v>34789.71</v>
      </c>
      <c r="E270" s="89">
        <v>4112.3900000000003</v>
      </c>
      <c r="F270" s="89">
        <v>11.820707904722404</v>
      </c>
    </row>
    <row r="271" spans="1:6">
      <c r="A271" s="25">
        <v>10</v>
      </c>
      <c r="B271" s="87" t="s">
        <v>49</v>
      </c>
      <c r="C271" s="88">
        <v>1</v>
      </c>
      <c r="D271" s="89">
        <v>9199.27</v>
      </c>
      <c r="E271" s="89">
        <v>2052.59</v>
      </c>
      <c r="F271" s="89">
        <v>22.312531320419993</v>
      </c>
    </row>
    <row r="272" spans="1:6">
      <c r="A272" s="25">
        <v>11</v>
      </c>
      <c r="B272" s="87" t="s">
        <v>50</v>
      </c>
      <c r="C272" s="88">
        <v>2</v>
      </c>
      <c r="D272" s="89">
        <v>11563.15</v>
      </c>
      <c r="E272" s="89">
        <v>5663.8</v>
      </c>
      <c r="F272" s="89">
        <v>48.981462663720528</v>
      </c>
    </row>
    <row r="273" spans="1:6">
      <c r="A273" s="25">
        <v>12</v>
      </c>
      <c r="B273" s="87" t="s">
        <v>51</v>
      </c>
      <c r="C273" s="88">
        <v>1</v>
      </c>
      <c r="D273" s="89">
        <v>471.32</v>
      </c>
      <c r="E273" s="89">
        <v>353.38</v>
      </c>
      <c r="F273" s="89">
        <v>74.976661291691428</v>
      </c>
    </row>
    <row r="274" spans="1:6">
      <c r="A274" s="25">
        <v>13</v>
      </c>
      <c r="B274" s="87" t="s">
        <v>52</v>
      </c>
      <c r="C274" s="88">
        <v>1</v>
      </c>
      <c r="D274" s="89">
        <v>2352.65</v>
      </c>
      <c r="E274" s="89">
        <v>656.67</v>
      </c>
      <c r="F274" s="89">
        <v>27.911929101226271</v>
      </c>
    </row>
    <row r="275" spans="1:6">
      <c r="A275" s="25">
        <v>14</v>
      </c>
      <c r="B275" s="87" t="s">
        <v>28</v>
      </c>
      <c r="C275" s="1026">
        <v>3</v>
      </c>
      <c r="D275" s="49">
        <v>18325.97</v>
      </c>
      <c r="E275" s="49">
        <v>8683.1500000000015</v>
      </c>
      <c r="F275" s="49">
        <v>47.381666563898122</v>
      </c>
    </row>
    <row r="276" spans="1:6">
      <c r="A276" s="25">
        <v>15</v>
      </c>
      <c r="B276" s="26" t="s">
        <v>10</v>
      </c>
      <c r="C276" s="90">
        <v>59</v>
      </c>
      <c r="D276" s="49">
        <v>882213.7</v>
      </c>
      <c r="E276" s="49">
        <v>225603.93</v>
      </c>
      <c r="F276" s="49">
        <v>25.572480907970487</v>
      </c>
    </row>
    <row r="277" spans="1:6">
      <c r="A277" s="25">
        <v>16</v>
      </c>
      <c r="B277" s="26" t="s">
        <v>53</v>
      </c>
      <c r="C277" s="25">
        <v>2</v>
      </c>
      <c r="D277" s="43">
        <v>3383.97</v>
      </c>
      <c r="E277" s="43">
        <v>1465.3</v>
      </c>
      <c r="F277" s="49">
        <v>43.301211299154538</v>
      </c>
    </row>
    <row r="278" spans="1:6">
      <c r="A278" s="25">
        <v>17</v>
      </c>
      <c r="B278" s="873" t="s">
        <v>35</v>
      </c>
      <c r="C278" s="1026">
        <v>4</v>
      </c>
      <c r="D278" s="49">
        <v>11889.14</v>
      </c>
      <c r="E278" s="49">
        <v>4382.79</v>
      </c>
      <c r="F278" s="49">
        <v>36.863810166252563</v>
      </c>
    </row>
    <row r="279" spans="1:6">
      <c r="A279" s="25">
        <v>18</v>
      </c>
      <c r="B279" s="26" t="s">
        <v>54</v>
      </c>
      <c r="C279" s="1391">
        <v>2</v>
      </c>
      <c r="D279" s="43">
        <v>13574.88</v>
      </c>
      <c r="E279" s="43">
        <v>8023.25</v>
      </c>
      <c r="F279" s="49">
        <v>59.103653218297332</v>
      </c>
    </row>
    <row r="280" spans="1:6">
      <c r="A280" s="25">
        <v>19</v>
      </c>
      <c r="B280" s="26" t="s">
        <v>55</v>
      </c>
      <c r="C280" s="25">
        <v>1</v>
      </c>
      <c r="D280" s="43">
        <v>6485.35</v>
      </c>
      <c r="E280" s="43">
        <v>782.29</v>
      </c>
      <c r="F280" s="49">
        <v>12.062417602750815</v>
      </c>
    </row>
    <row r="281" spans="1:6">
      <c r="A281" s="25">
        <v>20</v>
      </c>
      <c r="B281" s="26" t="s">
        <v>56</v>
      </c>
      <c r="C281" s="1026">
        <v>5</v>
      </c>
      <c r="D281" s="49">
        <v>151727</v>
      </c>
      <c r="E281" s="49">
        <v>21850</v>
      </c>
      <c r="F281" s="49">
        <v>14.400864710961134</v>
      </c>
    </row>
    <row r="282" spans="1:6">
      <c r="A282" s="25">
        <v>21</v>
      </c>
      <c r="B282" s="26" t="s">
        <v>57</v>
      </c>
      <c r="C282" s="25">
        <v>1</v>
      </c>
      <c r="D282" s="43">
        <v>43.12</v>
      </c>
      <c r="E282" s="43">
        <v>0</v>
      </c>
      <c r="F282" s="49">
        <v>0</v>
      </c>
    </row>
    <row r="283" spans="1:6">
      <c r="A283" s="25">
        <v>22</v>
      </c>
      <c r="B283" s="26" t="s">
        <v>75</v>
      </c>
      <c r="C283" s="25">
        <v>1</v>
      </c>
      <c r="D283" s="43">
        <v>2290.39</v>
      </c>
      <c r="E283" s="43">
        <v>743.08</v>
      </c>
      <c r="F283" s="49">
        <v>32.443383004641134</v>
      </c>
    </row>
    <row r="284" spans="1:6">
      <c r="A284" s="25">
        <v>23</v>
      </c>
      <c r="B284" s="26" t="s">
        <v>59</v>
      </c>
      <c r="C284" s="25">
        <v>1</v>
      </c>
      <c r="D284" s="43">
        <v>662</v>
      </c>
      <c r="E284" s="43">
        <v>0</v>
      </c>
      <c r="F284" s="49">
        <v>0</v>
      </c>
    </row>
    <row r="285" spans="1:6">
      <c r="A285" s="25">
        <v>24</v>
      </c>
      <c r="B285" s="26" t="s">
        <v>60</v>
      </c>
      <c r="C285" s="25">
        <v>1</v>
      </c>
      <c r="D285" s="43">
        <v>792</v>
      </c>
      <c r="E285" s="43">
        <v>5</v>
      </c>
      <c r="F285" s="49">
        <v>0</v>
      </c>
    </row>
    <row r="286" spans="1:6">
      <c r="A286" s="21" t="s">
        <v>61</v>
      </c>
      <c r="B286" s="21" t="s">
        <v>62</v>
      </c>
      <c r="C286" s="874">
        <v>123</v>
      </c>
      <c r="D286" s="92">
        <v>1265763.9299999997</v>
      </c>
      <c r="E286" s="92">
        <v>323056.93999999994</v>
      </c>
      <c r="F286" s="92">
        <v>25.522684944893321</v>
      </c>
    </row>
    <row r="287" spans="1:6">
      <c r="A287" s="25">
        <v>25</v>
      </c>
      <c r="B287" s="26" t="s">
        <v>16</v>
      </c>
      <c r="C287" s="1026">
        <v>29</v>
      </c>
      <c r="D287" s="49">
        <v>63375.66</v>
      </c>
      <c r="E287" s="49">
        <v>17833.260000000002</v>
      </c>
      <c r="F287" s="49">
        <v>28.138973227261065</v>
      </c>
    </row>
    <row r="288" spans="1:6">
      <c r="A288" s="25">
        <v>26</v>
      </c>
      <c r="B288" s="26" t="s">
        <v>12</v>
      </c>
      <c r="C288" s="1026">
        <v>37</v>
      </c>
      <c r="D288" s="49">
        <v>24473.730000000003</v>
      </c>
      <c r="E288" s="49">
        <v>29773.48</v>
      </c>
      <c r="F288" s="49">
        <v>121.65485195758879</v>
      </c>
    </row>
    <row r="289" spans="1:6">
      <c r="A289" s="1446" t="s">
        <v>63</v>
      </c>
      <c r="B289" s="1447"/>
      <c r="C289" s="874">
        <f>SUM(C287:C288)</f>
        <v>66</v>
      </c>
      <c r="D289" s="92">
        <f>D287+D288</f>
        <v>87849.390000000014</v>
      </c>
      <c r="E289" s="92">
        <f>E287+E288</f>
        <v>47606.740000000005</v>
      </c>
      <c r="F289" s="89">
        <f t="shared" ref="F289:F292" si="5">E289/D289%</f>
        <v>54.191315386481335</v>
      </c>
    </row>
    <row r="290" spans="1:6">
      <c r="A290" s="15">
        <v>27</v>
      </c>
      <c r="B290" s="16" t="s">
        <v>119</v>
      </c>
      <c r="C290" s="1028"/>
      <c r="D290" s="742"/>
      <c r="E290" s="346">
        <v>52383.17</v>
      </c>
      <c r="F290" s="749"/>
    </row>
    <row r="291" spans="1:6">
      <c r="A291" s="15">
        <v>28</v>
      </c>
      <c r="B291" s="16" t="s">
        <v>117</v>
      </c>
      <c r="C291" s="1028"/>
      <c r="D291" s="742"/>
      <c r="E291" s="346">
        <v>8914.66</v>
      </c>
      <c r="F291" s="749"/>
    </row>
    <row r="292" spans="1:6" ht="15.75">
      <c r="A292" s="1448" t="s">
        <v>73</v>
      </c>
      <c r="B292" s="1449"/>
      <c r="C292" s="1392">
        <f>C286+C289</f>
        <v>189</v>
      </c>
      <c r="D292" s="1393">
        <f>D286+D289</f>
        <v>1353613.3199999998</v>
      </c>
      <c r="E292" s="1393">
        <f>SUM(E286+E289+E290+E291)</f>
        <v>431961.50999999989</v>
      </c>
      <c r="F292" s="1394">
        <f t="shared" si="5"/>
        <v>31.911736063590151</v>
      </c>
    </row>
  </sheetData>
  <mergeCells count="36">
    <mergeCell ref="A221:B221"/>
    <mergeCell ref="A1:F1"/>
    <mergeCell ref="A2:F2"/>
    <mergeCell ref="B3:E3"/>
    <mergeCell ref="A203:B203"/>
    <mergeCell ref="A215:F215"/>
    <mergeCell ref="A216:B216"/>
    <mergeCell ref="A217:B217"/>
    <mergeCell ref="A218:B218"/>
    <mergeCell ref="A219:B219"/>
    <mergeCell ref="A220:B22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89:B289"/>
    <mergeCell ref="A292:B292"/>
    <mergeCell ref="C42:D42"/>
    <mergeCell ref="C84:D84"/>
    <mergeCell ref="C125:D125"/>
    <mergeCell ref="C169:D169"/>
    <mergeCell ref="C214:D214"/>
    <mergeCell ref="A234:B234"/>
    <mergeCell ref="A235:B235"/>
    <mergeCell ref="A236:B236"/>
    <mergeCell ref="A237:B237"/>
    <mergeCell ref="A259:F259"/>
    <mergeCell ref="A260:F260"/>
    <mergeCell ref="A228:B228"/>
    <mergeCell ref="A229:B229"/>
    <mergeCell ref="A230:B230"/>
  </mergeCells>
  <pageMargins left="0.7" right="0.7" top="0.75" bottom="0.75" header="0.3" footer="0.3"/>
  <pageSetup paperSize="9" scale="1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9"/>
  <sheetViews>
    <sheetView topLeftCell="A19" workbookViewId="0">
      <selection activeCell="M35" sqref="M35"/>
    </sheetView>
  </sheetViews>
  <sheetFormatPr defaultRowHeight="15"/>
  <cols>
    <col min="3" max="3" width="10.5703125" bestFit="1" customWidth="1"/>
    <col min="4" max="4" width="9.5703125" bestFit="1" customWidth="1"/>
    <col min="7" max="7" width="9.5703125" bestFit="1" customWidth="1"/>
    <col min="10" max="10" width="9.5703125" bestFit="1" customWidth="1"/>
  </cols>
  <sheetData>
    <row r="1" spans="1:11" ht="15.75">
      <c r="A1" s="1470">
        <v>20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</row>
    <row r="2" spans="1:11" ht="15.75">
      <c r="A2" s="1471" t="s">
        <v>178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</row>
    <row r="3" spans="1:11">
      <c r="A3" s="1472" t="s">
        <v>603</v>
      </c>
      <c r="B3" s="1472"/>
      <c r="C3" s="1472"/>
      <c r="D3" s="1472"/>
      <c r="E3" s="1472"/>
      <c r="F3" s="1472"/>
      <c r="G3" s="1472"/>
      <c r="H3" s="1472"/>
      <c r="I3" s="1472"/>
      <c r="J3" s="1472"/>
      <c r="K3" s="1472"/>
    </row>
    <row r="4" spans="1:11" ht="51">
      <c r="A4" s="131" t="s">
        <v>130</v>
      </c>
      <c r="B4" s="131" t="s">
        <v>131</v>
      </c>
      <c r="C4" s="131" t="s">
        <v>179</v>
      </c>
      <c r="D4" s="131" t="s">
        <v>180</v>
      </c>
      <c r="E4" s="131" t="s">
        <v>181</v>
      </c>
      <c r="F4" s="132" t="s">
        <v>182</v>
      </c>
      <c r="G4" s="131" t="s">
        <v>183</v>
      </c>
      <c r="H4" s="131" t="s">
        <v>184</v>
      </c>
      <c r="I4" s="131" t="s">
        <v>185</v>
      </c>
      <c r="J4" s="131" t="s">
        <v>186</v>
      </c>
      <c r="K4" s="131" t="s">
        <v>187</v>
      </c>
    </row>
    <row r="5" spans="1:11">
      <c r="A5" s="133">
        <v>1</v>
      </c>
      <c r="B5" s="134" t="s">
        <v>78</v>
      </c>
      <c r="C5" s="135">
        <v>6939.66</v>
      </c>
      <c r="D5" s="135">
        <v>5294.89</v>
      </c>
      <c r="E5" s="136">
        <v>76.298982947291378</v>
      </c>
      <c r="F5" s="136">
        <v>0</v>
      </c>
      <c r="G5" s="136">
        <v>5294.89</v>
      </c>
      <c r="H5" s="136">
        <v>76.298982947291378</v>
      </c>
      <c r="I5" s="136">
        <v>0</v>
      </c>
      <c r="J5" s="136">
        <v>5294.89</v>
      </c>
      <c r="K5" s="136">
        <v>76.298982947291378</v>
      </c>
    </row>
    <row r="6" spans="1:11">
      <c r="A6" s="133">
        <v>2</v>
      </c>
      <c r="B6" s="137" t="s">
        <v>27</v>
      </c>
      <c r="C6" s="135">
        <v>30400.28</v>
      </c>
      <c r="D6" s="135">
        <v>3968.32</v>
      </c>
      <c r="E6" s="136">
        <v>13.053563980331761</v>
      </c>
      <c r="F6" s="136">
        <v>200.91</v>
      </c>
      <c r="G6" s="136">
        <v>4169.2300000000005</v>
      </c>
      <c r="H6" s="136">
        <v>13.714446051154795</v>
      </c>
      <c r="I6" s="136">
        <v>0</v>
      </c>
      <c r="J6" s="136">
        <v>4169.2300000000005</v>
      </c>
      <c r="K6" s="136">
        <v>13.714446051154795</v>
      </c>
    </row>
    <row r="7" spans="1:11">
      <c r="A7" s="133">
        <v>3</v>
      </c>
      <c r="B7" s="134" t="s">
        <v>46</v>
      </c>
      <c r="C7" s="135">
        <v>7020.46</v>
      </c>
      <c r="D7" s="135">
        <v>944.63</v>
      </c>
      <c r="E7" s="136">
        <v>13.455386114300202</v>
      </c>
      <c r="F7" s="136">
        <v>0</v>
      </c>
      <c r="G7" s="136">
        <v>944.63</v>
      </c>
      <c r="H7" s="136">
        <v>13.455386114300202</v>
      </c>
      <c r="I7" s="136">
        <v>0</v>
      </c>
      <c r="J7" s="136">
        <v>944.63</v>
      </c>
      <c r="K7" s="136">
        <v>13.455386114300202</v>
      </c>
    </row>
    <row r="8" spans="1:11">
      <c r="A8" s="133">
        <v>4</v>
      </c>
      <c r="B8" s="134" t="s">
        <v>32</v>
      </c>
      <c r="C8" s="1090">
        <v>12462.54</v>
      </c>
      <c r="D8" s="1091">
        <v>5024.24</v>
      </c>
      <c r="E8" s="136">
        <v>40.31473519844269</v>
      </c>
      <c r="F8" s="136">
        <v>0</v>
      </c>
      <c r="G8" s="136">
        <v>5024.24</v>
      </c>
      <c r="H8" s="136">
        <v>40.31473519844269</v>
      </c>
      <c r="I8" s="136">
        <v>0</v>
      </c>
      <c r="J8" s="136">
        <v>5024.24</v>
      </c>
      <c r="K8" s="136">
        <v>40.31473519844269</v>
      </c>
    </row>
    <row r="9" spans="1:11">
      <c r="A9" s="1092">
        <v>5</v>
      </c>
      <c r="B9" s="137" t="s">
        <v>83</v>
      </c>
      <c r="C9" s="135">
        <v>4900.49</v>
      </c>
      <c r="D9" s="135">
        <v>1004.13</v>
      </c>
      <c r="E9" s="136">
        <v>20.490399939597879</v>
      </c>
      <c r="F9" s="136">
        <v>0</v>
      </c>
      <c r="G9" s="136">
        <v>1004.13</v>
      </c>
      <c r="H9" s="136">
        <v>20.490399939597879</v>
      </c>
      <c r="I9" s="136">
        <v>0</v>
      </c>
      <c r="J9" s="136">
        <v>1004.13</v>
      </c>
      <c r="K9" s="136">
        <v>20.490399939597879</v>
      </c>
    </row>
    <row r="10" spans="1:11">
      <c r="A10" s="140">
        <v>6</v>
      </c>
      <c r="B10" s="141" t="s">
        <v>85</v>
      </c>
      <c r="C10" s="1093">
        <v>19068.02</v>
      </c>
      <c r="D10" s="1094">
        <v>10430.51</v>
      </c>
      <c r="E10" s="144">
        <v>54.701589362713065</v>
      </c>
      <c r="F10" s="144">
        <v>0</v>
      </c>
      <c r="G10" s="144">
        <v>10430.51</v>
      </c>
      <c r="H10" s="144">
        <v>54.701589362713065</v>
      </c>
      <c r="I10" s="144">
        <v>0</v>
      </c>
      <c r="J10" s="144">
        <v>10430.51</v>
      </c>
      <c r="K10" s="144">
        <v>54.701589362713065</v>
      </c>
    </row>
    <row r="11" spans="1:11">
      <c r="A11" s="133">
        <v>7</v>
      </c>
      <c r="B11" s="134" t="s">
        <v>17</v>
      </c>
      <c r="C11" s="135">
        <v>21370.48</v>
      </c>
      <c r="D11" s="135">
        <v>4193.83</v>
      </c>
      <c r="E11" s="136">
        <v>19.624407126091693</v>
      </c>
      <c r="F11" s="136">
        <v>0</v>
      </c>
      <c r="G11" s="136">
        <v>4193.83</v>
      </c>
      <c r="H11" s="136">
        <v>19.624407126091693</v>
      </c>
      <c r="I11" s="136">
        <v>0</v>
      </c>
      <c r="J11" s="136">
        <v>4193.83</v>
      </c>
      <c r="K11" s="136">
        <v>19.624407126091693</v>
      </c>
    </row>
    <row r="12" spans="1:11">
      <c r="A12" s="133">
        <v>8</v>
      </c>
      <c r="B12" s="134" t="s">
        <v>26</v>
      </c>
      <c r="C12" s="1095">
        <v>13838.38</v>
      </c>
      <c r="D12" s="1096">
        <v>7818.77</v>
      </c>
      <c r="E12" s="346">
        <v>56.500616401630836</v>
      </c>
      <c r="F12" s="346">
        <v>0</v>
      </c>
      <c r="G12" s="346">
        <v>7818.77</v>
      </c>
      <c r="H12" s="346">
        <v>56.500616401630836</v>
      </c>
      <c r="I12" s="346">
        <v>0</v>
      </c>
      <c r="J12" s="346">
        <v>7818.77</v>
      </c>
      <c r="K12" s="346">
        <v>56.500616401630836</v>
      </c>
    </row>
    <row r="13" spans="1:11">
      <c r="A13" s="133">
        <v>9</v>
      </c>
      <c r="B13" s="134" t="s">
        <v>48</v>
      </c>
      <c r="C13" s="1097">
        <v>34789.699999999997</v>
      </c>
      <c r="D13" s="1091">
        <v>4112.3900000000003</v>
      </c>
      <c r="E13" s="136">
        <v>11.820711302483208</v>
      </c>
      <c r="F13" s="136">
        <v>0</v>
      </c>
      <c r="G13" s="136">
        <v>4112.3900000000003</v>
      </c>
      <c r="H13" s="136">
        <v>11.820711302483208</v>
      </c>
      <c r="I13" s="136">
        <v>0</v>
      </c>
      <c r="J13" s="136">
        <v>4112.3900000000003</v>
      </c>
      <c r="K13" s="136">
        <v>11.820711302483208</v>
      </c>
    </row>
    <row r="14" spans="1:11">
      <c r="A14" s="1092">
        <v>10</v>
      </c>
      <c r="B14" s="137" t="s">
        <v>49</v>
      </c>
      <c r="C14" s="135">
        <v>9199.27</v>
      </c>
      <c r="D14" s="135">
        <v>2052.59</v>
      </c>
      <c r="E14" s="136">
        <v>22.312531320419993</v>
      </c>
      <c r="F14" s="136">
        <v>0</v>
      </c>
      <c r="G14" s="136">
        <v>2052.59</v>
      </c>
      <c r="H14" s="136">
        <v>22.312531320419993</v>
      </c>
      <c r="I14" s="136">
        <v>0</v>
      </c>
      <c r="J14" s="136">
        <v>2052.59</v>
      </c>
      <c r="K14" s="136">
        <v>22.312531320419993</v>
      </c>
    </row>
    <row r="15" spans="1:11">
      <c r="A15" s="133">
        <v>11</v>
      </c>
      <c r="B15" s="134" t="s">
        <v>50</v>
      </c>
      <c r="C15" s="39">
        <v>11563.15</v>
      </c>
      <c r="D15" s="39">
        <v>5663.8</v>
      </c>
      <c r="E15" s="346">
        <v>48.981462663720528</v>
      </c>
      <c r="F15" s="346">
        <v>0</v>
      </c>
      <c r="G15" s="346">
        <v>5663.8</v>
      </c>
      <c r="H15" s="346">
        <v>48.981462663720528</v>
      </c>
      <c r="I15" s="346">
        <v>0</v>
      </c>
      <c r="J15" s="346">
        <v>5663.8</v>
      </c>
      <c r="K15" s="346">
        <v>48.981462663720528</v>
      </c>
    </row>
    <row r="16" spans="1:11">
      <c r="A16" s="1092">
        <v>12</v>
      </c>
      <c r="B16" s="137" t="s">
        <v>51</v>
      </c>
      <c r="C16" s="135">
        <v>471.32</v>
      </c>
      <c r="D16" s="135">
        <v>353.38</v>
      </c>
      <c r="E16" s="136">
        <v>74.976661291691428</v>
      </c>
      <c r="F16" s="136">
        <v>0</v>
      </c>
      <c r="G16" s="136">
        <v>353.38</v>
      </c>
      <c r="H16" s="136">
        <v>74.976661291691428</v>
      </c>
      <c r="I16" s="136">
        <v>0</v>
      </c>
      <c r="J16" s="136">
        <v>353.38</v>
      </c>
      <c r="K16" s="136">
        <v>74.976661291691428</v>
      </c>
    </row>
    <row r="17" spans="1:13">
      <c r="A17" s="1092">
        <v>13</v>
      </c>
      <c r="B17" s="137" t="s">
        <v>52</v>
      </c>
      <c r="C17" s="135">
        <v>2352.65</v>
      </c>
      <c r="D17" s="135">
        <v>656.67</v>
      </c>
      <c r="E17" s="136">
        <v>27.911929101226271</v>
      </c>
      <c r="F17" s="136">
        <v>0</v>
      </c>
      <c r="G17" s="136">
        <v>656.67</v>
      </c>
      <c r="H17" s="136">
        <v>27.911929101226271</v>
      </c>
      <c r="I17" s="136">
        <v>0</v>
      </c>
      <c r="J17" s="136">
        <v>656.67</v>
      </c>
      <c r="K17" s="136">
        <v>27.911929101226271</v>
      </c>
    </row>
    <row r="18" spans="1:13">
      <c r="A18" s="133">
        <v>14</v>
      </c>
      <c r="B18" s="134" t="s">
        <v>28</v>
      </c>
      <c r="C18" s="1090">
        <v>18325.97</v>
      </c>
      <c r="D18" s="1090">
        <v>8683.15</v>
      </c>
      <c r="E18" s="136">
        <v>47.381666563898115</v>
      </c>
      <c r="F18" s="136">
        <v>0</v>
      </c>
      <c r="G18" s="136">
        <v>8683.15</v>
      </c>
      <c r="H18" s="136">
        <v>47.381666563898115</v>
      </c>
      <c r="I18" s="136">
        <v>0</v>
      </c>
      <c r="J18" s="136">
        <v>8683.15</v>
      </c>
      <c r="K18" s="136">
        <v>47.381666563898115</v>
      </c>
    </row>
    <row r="19" spans="1:13">
      <c r="A19" s="1092">
        <v>15</v>
      </c>
      <c r="B19" s="137" t="s">
        <v>10</v>
      </c>
      <c r="C19" s="135">
        <v>882213.7</v>
      </c>
      <c r="D19" s="135">
        <v>225603.93</v>
      </c>
      <c r="E19" s="136">
        <v>25.572480907970487</v>
      </c>
      <c r="F19" s="136">
        <v>0</v>
      </c>
      <c r="G19" s="136">
        <v>225603.93</v>
      </c>
      <c r="H19" s="136">
        <v>25.572480907970487</v>
      </c>
      <c r="I19" s="136">
        <v>0</v>
      </c>
      <c r="J19" s="136">
        <v>225603.93</v>
      </c>
      <c r="K19" s="136">
        <v>25.572480907970487</v>
      </c>
    </row>
    <row r="20" spans="1:13">
      <c r="A20" s="1092">
        <v>16</v>
      </c>
      <c r="B20" s="137" t="s">
        <v>53</v>
      </c>
      <c r="C20" s="1090">
        <v>3383.97</v>
      </c>
      <c r="D20" s="1090">
        <v>1465.3</v>
      </c>
      <c r="E20" s="136">
        <v>43.301211299154538</v>
      </c>
      <c r="F20" s="136">
        <v>0</v>
      </c>
      <c r="G20" s="136">
        <v>1465.3</v>
      </c>
      <c r="H20" s="136">
        <v>43.301211299154538</v>
      </c>
      <c r="I20" s="136">
        <v>0</v>
      </c>
      <c r="J20" s="136">
        <v>1465.3</v>
      </c>
      <c r="K20" s="136">
        <v>43.301211299154538</v>
      </c>
    </row>
    <row r="21" spans="1:13">
      <c r="A21" s="133">
        <v>17</v>
      </c>
      <c r="B21" s="137" t="s">
        <v>35</v>
      </c>
      <c r="C21" s="1090">
        <v>11889.14</v>
      </c>
      <c r="D21" s="1090">
        <v>4382.79</v>
      </c>
      <c r="E21" s="136">
        <v>36.863810166252563</v>
      </c>
      <c r="F21" s="136">
        <v>0</v>
      </c>
      <c r="G21" s="136">
        <v>4382.79</v>
      </c>
      <c r="H21" s="136">
        <v>36.863810166252563</v>
      </c>
      <c r="I21" s="136">
        <v>0</v>
      </c>
      <c r="J21" s="136">
        <v>4382.79</v>
      </c>
      <c r="K21" s="136">
        <v>36.863810166252563</v>
      </c>
    </row>
    <row r="22" spans="1:13">
      <c r="A22" s="133">
        <v>18</v>
      </c>
      <c r="B22" s="137" t="s">
        <v>54</v>
      </c>
      <c r="C22" s="135">
        <v>13574.88</v>
      </c>
      <c r="D22" s="135">
        <v>8023.25</v>
      </c>
      <c r="E22" s="136">
        <v>59.103653218297332</v>
      </c>
      <c r="F22" s="146">
        <v>0</v>
      </c>
      <c r="G22" s="136">
        <v>8023.25</v>
      </c>
      <c r="H22" s="136">
        <v>59.103653218297332</v>
      </c>
      <c r="I22" s="136">
        <v>0</v>
      </c>
      <c r="J22" s="136">
        <v>8023.25</v>
      </c>
      <c r="K22" s="136">
        <v>59.103653218297332</v>
      </c>
    </row>
    <row r="23" spans="1:13">
      <c r="A23" s="1092">
        <v>19</v>
      </c>
      <c r="B23" s="137" t="s">
        <v>55</v>
      </c>
      <c r="C23" s="135">
        <v>6485.35</v>
      </c>
      <c r="D23" s="135">
        <v>782.29</v>
      </c>
      <c r="E23" s="136">
        <v>12.062417602750815</v>
      </c>
      <c r="F23" s="146">
        <v>0</v>
      </c>
      <c r="G23" s="136">
        <v>782.29</v>
      </c>
      <c r="H23" s="136">
        <v>12.062417602750815</v>
      </c>
      <c r="I23" s="136">
        <v>0</v>
      </c>
      <c r="J23" s="136">
        <v>782.29</v>
      </c>
      <c r="K23" s="136">
        <v>12.062417602750815</v>
      </c>
    </row>
    <row r="24" spans="1:13">
      <c r="A24" s="133">
        <v>20</v>
      </c>
      <c r="B24" s="134" t="s">
        <v>56</v>
      </c>
      <c r="C24" s="135">
        <v>151727</v>
      </c>
      <c r="D24" s="135">
        <v>21850</v>
      </c>
      <c r="E24" s="136">
        <v>14.400864710961134</v>
      </c>
      <c r="F24" s="136">
        <v>0</v>
      </c>
      <c r="G24" s="136">
        <v>21850</v>
      </c>
      <c r="H24" s="136">
        <v>14.400864710961134</v>
      </c>
      <c r="I24" s="136">
        <v>0</v>
      </c>
      <c r="J24" s="136">
        <v>21850</v>
      </c>
      <c r="K24" s="136">
        <v>14.400864710961134</v>
      </c>
    </row>
    <row r="25" spans="1:13">
      <c r="A25" s="133">
        <v>21</v>
      </c>
      <c r="B25" s="134" t="s">
        <v>57</v>
      </c>
      <c r="C25" s="135">
        <v>43.12</v>
      </c>
      <c r="D25" s="135">
        <v>0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0</v>
      </c>
      <c r="K25" s="136">
        <v>0</v>
      </c>
    </row>
    <row r="26" spans="1:13">
      <c r="A26" s="1092">
        <v>22</v>
      </c>
      <c r="B26" s="137" t="s">
        <v>75</v>
      </c>
      <c r="C26" s="135">
        <v>2290.39</v>
      </c>
      <c r="D26" s="135">
        <v>743.08</v>
      </c>
      <c r="E26" s="136">
        <v>32.443383004641134</v>
      </c>
      <c r="F26" s="136">
        <v>0</v>
      </c>
      <c r="G26" s="136">
        <v>743.08</v>
      </c>
      <c r="H26" s="136">
        <v>32.443383004641134</v>
      </c>
      <c r="I26" s="136">
        <v>0</v>
      </c>
      <c r="J26" s="136">
        <v>743.08</v>
      </c>
      <c r="K26" s="136">
        <v>32.443383004641134</v>
      </c>
    </row>
    <row r="27" spans="1:13">
      <c r="A27" s="133">
        <v>23</v>
      </c>
      <c r="B27" s="134" t="s">
        <v>59</v>
      </c>
      <c r="C27" s="135">
        <v>662</v>
      </c>
      <c r="D27" s="135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</row>
    <row r="28" spans="1:13">
      <c r="A28" s="133">
        <v>24</v>
      </c>
      <c r="B28" s="134" t="s">
        <v>60</v>
      </c>
      <c r="C28" s="162">
        <v>792</v>
      </c>
      <c r="D28" s="162">
        <v>5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5"/>
      <c r="M28" s="345"/>
    </row>
    <row r="29" spans="1:13">
      <c r="A29" s="147" t="s">
        <v>113</v>
      </c>
      <c r="B29" s="148" t="s">
        <v>62</v>
      </c>
      <c r="C29" s="661">
        <v>1265763.9199999997</v>
      </c>
      <c r="D29" s="661">
        <v>323056.93999999994</v>
      </c>
      <c r="E29" s="347">
        <v>25.522685146531906</v>
      </c>
      <c r="F29" s="840">
        <v>200.91</v>
      </c>
      <c r="G29" s="840">
        <v>323252.84999999998</v>
      </c>
      <c r="H29" s="347">
        <v>25.538162756290291</v>
      </c>
      <c r="I29" s="347">
        <v>0</v>
      </c>
      <c r="J29" s="840">
        <v>323252.84999999998</v>
      </c>
      <c r="K29" s="347">
        <v>25.538162756290291</v>
      </c>
      <c r="L29" s="345"/>
      <c r="M29" s="345"/>
    </row>
    <row r="30" spans="1:13">
      <c r="A30" s="133">
        <v>1</v>
      </c>
      <c r="B30" s="134" t="s">
        <v>16</v>
      </c>
      <c r="C30" s="162">
        <v>63375.66</v>
      </c>
      <c r="D30" s="162">
        <v>17833.259999999998</v>
      </c>
      <c r="E30" s="346">
        <v>28.138973227261062</v>
      </c>
      <c r="F30" s="346">
        <v>0</v>
      </c>
      <c r="G30" s="346">
        <v>17833.259999999998</v>
      </c>
      <c r="H30" s="346">
        <v>28.138973227261062</v>
      </c>
      <c r="I30" s="346">
        <v>43359.55</v>
      </c>
      <c r="J30" s="346">
        <v>61192.81</v>
      </c>
      <c r="K30" s="346">
        <v>96.555696619175237</v>
      </c>
      <c r="L30" s="345"/>
      <c r="M30" s="345"/>
    </row>
    <row r="31" spans="1:13">
      <c r="A31" s="133">
        <v>1</v>
      </c>
      <c r="B31" s="134" t="s">
        <v>12</v>
      </c>
      <c r="C31" s="162">
        <v>24473.73</v>
      </c>
      <c r="D31" s="162">
        <v>29773.48</v>
      </c>
      <c r="E31" s="346">
        <v>121.6548519575888</v>
      </c>
      <c r="F31" s="346">
        <v>0</v>
      </c>
      <c r="G31" s="346">
        <v>29773.48</v>
      </c>
      <c r="H31" s="346">
        <v>121.6548519575888</v>
      </c>
      <c r="I31" s="346">
        <v>30943.87</v>
      </c>
      <c r="J31" s="346">
        <v>60717.35</v>
      </c>
      <c r="K31" s="346">
        <v>248.0919336774574</v>
      </c>
      <c r="L31" s="345"/>
      <c r="M31" s="345"/>
    </row>
    <row r="32" spans="1:13">
      <c r="A32" s="1473" t="s">
        <v>188</v>
      </c>
      <c r="B32" s="1473"/>
      <c r="C32" s="840">
        <v>1353613.3099999996</v>
      </c>
      <c r="D32" s="840">
        <v>370663.67999999993</v>
      </c>
      <c r="E32" s="347">
        <v>27.383276838493856</v>
      </c>
      <c r="F32" s="840">
        <v>200.91</v>
      </c>
      <c r="G32" s="840">
        <v>370859.58999999997</v>
      </c>
      <c r="H32" s="347">
        <v>27.397749952680364</v>
      </c>
      <c r="I32" s="840">
        <v>74303.42</v>
      </c>
      <c r="J32" s="840">
        <v>445163.00999999995</v>
      </c>
      <c r="K32" s="347">
        <v>32.887014829959092</v>
      </c>
      <c r="L32" s="345"/>
      <c r="M32" s="345"/>
    </row>
    <row r="33" spans="1:13">
      <c r="A33" s="133">
        <v>1</v>
      </c>
      <c r="B33" s="133" t="s">
        <v>119</v>
      </c>
      <c r="C33" s="346">
        <v>0</v>
      </c>
      <c r="D33" s="346">
        <v>52383.17</v>
      </c>
      <c r="E33" s="347"/>
      <c r="F33" s="346">
        <v>0</v>
      </c>
      <c r="G33" s="346">
        <v>52383.17</v>
      </c>
      <c r="H33" s="346"/>
      <c r="I33" s="346">
        <v>0</v>
      </c>
      <c r="J33" s="346">
        <v>52383.17</v>
      </c>
      <c r="K33" s="347">
        <v>0</v>
      </c>
      <c r="L33" s="345"/>
      <c r="M33" s="345"/>
    </row>
    <row r="34" spans="1:13">
      <c r="A34" s="133">
        <v>2</v>
      </c>
      <c r="B34" s="133" t="s">
        <v>117</v>
      </c>
      <c r="C34" s="346">
        <v>0</v>
      </c>
      <c r="D34" s="346">
        <v>8914.66</v>
      </c>
      <c r="E34" s="347"/>
      <c r="F34" s="346">
        <v>0</v>
      </c>
      <c r="G34" s="346">
        <v>8914.66</v>
      </c>
      <c r="H34" s="346"/>
      <c r="I34" s="346">
        <v>0</v>
      </c>
      <c r="J34" s="346">
        <v>8914.66</v>
      </c>
      <c r="K34" s="347">
        <v>0</v>
      </c>
      <c r="L34" s="345"/>
      <c r="M34" s="345"/>
    </row>
    <row r="35" spans="1:13">
      <c r="A35" s="152" t="s">
        <v>135</v>
      </c>
      <c r="B35" s="152" t="s">
        <v>13</v>
      </c>
      <c r="C35" s="665">
        <v>1353613.3099999996</v>
      </c>
      <c r="D35" s="665">
        <v>431961.50999999989</v>
      </c>
      <c r="E35" s="664">
        <v>31.91173629934239</v>
      </c>
      <c r="F35" s="665">
        <v>200.91</v>
      </c>
      <c r="G35" s="665">
        <v>432157.41999999993</v>
      </c>
      <c r="H35" s="664">
        <v>31.926209413528895</v>
      </c>
      <c r="I35" s="665">
        <v>74303.42</v>
      </c>
      <c r="J35" s="665">
        <v>506460.83999999991</v>
      </c>
      <c r="K35" s="347">
        <v>37.415474290807623</v>
      </c>
      <c r="L35" s="345"/>
      <c r="M35" s="345"/>
    </row>
    <row r="36" spans="1:13">
      <c r="A36" s="154"/>
      <c r="B36" s="155"/>
      <c r="C36" s="1474" t="s">
        <v>136</v>
      </c>
      <c r="D36" s="1474"/>
      <c r="E36" s="1395"/>
      <c r="F36" s="1395"/>
      <c r="G36" s="1395"/>
      <c r="H36" s="1395"/>
      <c r="I36" s="1395"/>
      <c r="J36" s="1395"/>
      <c r="K36" s="1396"/>
      <c r="L36" s="345"/>
      <c r="M36" s="345"/>
    </row>
    <row r="37" spans="1:13" s="668" customFormat="1">
      <c r="A37" s="1397"/>
      <c r="B37" s="1397" t="s">
        <v>13</v>
      </c>
      <c r="C37" s="1409">
        <v>1129858.48</v>
      </c>
      <c r="D37" s="1409">
        <v>419336.46</v>
      </c>
      <c r="E37" s="1409">
        <v>37.114069365572227</v>
      </c>
      <c r="F37" s="1409">
        <v>200.91</v>
      </c>
      <c r="G37" s="1409">
        <v>419532.37</v>
      </c>
      <c r="H37" s="1409">
        <v>34.61</v>
      </c>
      <c r="I37" s="1409">
        <v>74303.42</v>
      </c>
      <c r="J37" s="1409">
        <v>493835.79</v>
      </c>
      <c r="K37" s="1409">
        <v>43.71</v>
      </c>
      <c r="L37" s="925"/>
      <c r="M37" s="925"/>
    </row>
    <row r="38" spans="1:13">
      <c r="A38" s="5" t="s">
        <v>189</v>
      </c>
      <c r="B38" s="1475" t="s">
        <v>190</v>
      </c>
      <c r="C38" s="1475"/>
      <c r="D38" s="1475"/>
      <c r="E38" s="1475"/>
      <c r="F38" s="1475"/>
      <c r="G38" s="1475"/>
      <c r="H38" s="1475"/>
      <c r="I38" s="1475"/>
      <c r="J38" s="1475"/>
      <c r="K38" s="1475"/>
      <c r="L38" s="345"/>
      <c r="M38" s="345"/>
    </row>
    <row r="39" spans="1:13">
      <c r="A39" s="5"/>
      <c r="B39" s="1469" t="s">
        <v>191</v>
      </c>
      <c r="C39" s="1469"/>
      <c r="D39" s="1469"/>
      <c r="E39" s="1469"/>
      <c r="F39" s="1469"/>
      <c r="G39" s="1469"/>
      <c r="H39" s="1469"/>
      <c r="I39" s="1469"/>
      <c r="J39" s="1469"/>
      <c r="K39" s="1469"/>
      <c r="L39" s="345"/>
      <c r="M39" s="345"/>
    </row>
  </sheetData>
  <mergeCells count="7">
    <mergeCell ref="B39:K39"/>
    <mergeCell ref="A1:K1"/>
    <mergeCell ref="A2:K2"/>
    <mergeCell ref="A3:K3"/>
    <mergeCell ref="A32:B32"/>
    <mergeCell ref="C36:D36"/>
    <mergeCell ref="B38:K38"/>
  </mergeCells>
  <printOptions gridLines="1"/>
  <pageMargins left="0.7" right="0.7" top="0.75" bottom="0.75" header="0.3" footer="0.3"/>
  <pageSetup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O9" sqref="O9"/>
    </sheetView>
  </sheetViews>
  <sheetFormatPr defaultRowHeight="15"/>
  <cols>
    <col min="3" max="4" width="9.5703125" bestFit="1" customWidth="1"/>
    <col min="7" max="7" width="9.5703125" bestFit="1" customWidth="1"/>
  </cols>
  <sheetData>
    <row r="1" spans="1:13" ht="15.75">
      <c r="A1" s="1478">
        <v>21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</row>
    <row r="2" spans="1:13" ht="15.75">
      <c r="A2" s="1479" t="s">
        <v>604</v>
      </c>
      <c r="B2" s="1479"/>
      <c r="C2" s="1479"/>
      <c r="D2" s="1479"/>
      <c r="E2" s="1479"/>
      <c r="F2" s="1479"/>
      <c r="G2" s="1479"/>
      <c r="H2" s="1479"/>
      <c r="I2" s="1479"/>
      <c r="J2" s="1479"/>
      <c r="K2" s="1479"/>
      <c r="L2" s="1479"/>
      <c r="M2" s="1479"/>
    </row>
    <row r="3" spans="1:13" ht="15.75">
      <c r="A3" s="1479" t="s">
        <v>603</v>
      </c>
      <c r="B3" s="1479"/>
      <c r="C3" s="1479"/>
      <c r="D3" s="1479"/>
      <c r="E3" s="1479"/>
      <c r="F3" s="1479"/>
      <c r="G3" s="1479"/>
      <c r="H3" s="1479"/>
      <c r="I3" s="1479"/>
      <c r="J3" s="1479"/>
      <c r="K3" s="1479"/>
      <c r="L3" s="1479"/>
      <c r="M3" s="1479"/>
    </row>
    <row r="4" spans="1:13" ht="51">
      <c r="A4" s="1098" t="s">
        <v>130</v>
      </c>
      <c r="B4" s="1098" t="s">
        <v>131</v>
      </c>
      <c r="C4" s="1099" t="s">
        <v>194</v>
      </c>
      <c r="D4" s="1099" t="s">
        <v>195</v>
      </c>
      <c r="E4" s="1099" t="s">
        <v>196</v>
      </c>
      <c r="F4" s="1099" t="s">
        <v>197</v>
      </c>
      <c r="G4" s="1099" t="s">
        <v>198</v>
      </c>
      <c r="H4" s="1099" t="s">
        <v>199</v>
      </c>
      <c r="I4" s="1099" t="s">
        <v>200</v>
      </c>
      <c r="J4" s="1099" t="s">
        <v>201</v>
      </c>
      <c r="K4" s="1099" t="s">
        <v>202</v>
      </c>
      <c r="L4" s="1098" t="s">
        <v>203</v>
      </c>
      <c r="M4" s="1098" t="s">
        <v>204</v>
      </c>
    </row>
    <row r="5" spans="1:13">
      <c r="A5" s="776">
        <v>1</v>
      </c>
      <c r="B5" s="777" t="s">
        <v>78</v>
      </c>
      <c r="C5" s="135">
        <v>5294.89</v>
      </c>
      <c r="D5" s="778">
        <f>C5-G5</f>
        <v>334.51000000000022</v>
      </c>
      <c r="E5" s="778">
        <v>28</v>
      </c>
      <c r="F5" s="779">
        <v>8.3704523033691078</v>
      </c>
      <c r="G5" s="778">
        <v>4960.38</v>
      </c>
      <c r="H5" s="779">
        <v>276</v>
      </c>
      <c r="I5" s="779">
        <v>5.5640898479551968</v>
      </c>
      <c r="J5" s="779">
        <v>1039</v>
      </c>
      <c r="K5" s="779">
        <v>93.682399445503123</v>
      </c>
      <c r="L5" s="779">
        <v>20.945975913135687</v>
      </c>
      <c r="M5" s="779">
        <v>19.622692822702643</v>
      </c>
    </row>
    <row r="6" spans="1:13">
      <c r="A6" s="1100">
        <v>2</v>
      </c>
      <c r="B6" s="1101" t="s">
        <v>27</v>
      </c>
      <c r="C6" s="337">
        <v>3968.32</v>
      </c>
      <c r="D6" s="778">
        <f t="shared" ref="D6:D28" si="0">C6-G6</f>
        <v>2235.19</v>
      </c>
      <c r="E6" s="778">
        <v>9.19</v>
      </c>
      <c r="F6" s="778">
        <v>0.41115072991557761</v>
      </c>
      <c r="G6" s="778">
        <v>1733.13</v>
      </c>
      <c r="H6" s="778">
        <v>20.68</v>
      </c>
      <c r="I6" s="778">
        <v>1.1932168965974852</v>
      </c>
      <c r="J6" s="778">
        <v>42.36</v>
      </c>
      <c r="K6" s="779">
        <v>43.674149262156284</v>
      </c>
      <c r="L6" s="778">
        <v>2.4441328694327602</v>
      </c>
      <c r="M6" s="779">
        <v>1.0674542375614871</v>
      </c>
    </row>
    <row r="7" spans="1:13">
      <c r="A7" s="776">
        <v>3</v>
      </c>
      <c r="B7" s="777" t="s">
        <v>46</v>
      </c>
      <c r="C7" s="135">
        <v>944.63</v>
      </c>
      <c r="D7" s="778">
        <f t="shared" si="0"/>
        <v>430</v>
      </c>
      <c r="E7" s="778">
        <v>92</v>
      </c>
      <c r="F7" s="779">
        <v>21.395348837209305</v>
      </c>
      <c r="G7" s="778">
        <v>514.63</v>
      </c>
      <c r="H7" s="779">
        <v>18</v>
      </c>
      <c r="I7" s="779">
        <v>3.4976585119406174</v>
      </c>
      <c r="J7" s="779">
        <v>63</v>
      </c>
      <c r="K7" s="779">
        <v>54.479531668483958</v>
      </c>
      <c r="L7" s="779">
        <v>12.241804791792161</v>
      </c>
      <c r="M7" s="779">
        <v>6.6692779183383966</v>
      </c>
    </row>
    <row r="8" spans="1:13">
      <c r="A8" s="776">
        <v>4</v>
      </c>
      <c r="B8" s="777" t="s">
        <v>32</v>
      </c>
      <c r="C8" s="1102">
        <v>5024.24</v>
      </c>
      <c r="D8" s="778">
        <f t="shared" si="0"/>
        <v>905.46</v>
      </c>
      <c r="E8" s="778">
        <v>24.27</v>
      </c>
      <c r="F8" s="779">
        <v>2.6804055397256641</v>
      </c>
      <c r="G8" s="778">
        <v>4118.78</v>
      </c>
      <c r="H8" s="779">
        <v>433.46</v>
      </c>
      <c r="I8" s="779">
        <v>10.523990113577321</v>
      </c>
      <c r="J8" s="779">
        <v>3925.6</v>
      </c>
      <c r="K8" s="779">
        <v>81.978169832651304</v>
      </c>
      <c r="L8" s="779">
        <v>95.309776195863833</v>
      </c>
      <c r="M8" s="779">
        <v>78.133210196965123</v>
      </c>
    </row>
    <row r="9" spans="1:13">
      <c r="A9" s="776">
        <v>5</v>
      </c>
      <c r="B9" s="777" t="s">
        <v>83</v>
      </c>
      <c r="C9" s="135">
        <v>1004.13</v>
      </c>
      <c r="D9" s="778">
        <f t="shared" si="0"/>
        <v>562.75</v>
      </c>
      <c r="E9" s="778">
        <v>129.35</v>
      </c>
      <c r="F9" s="779">
        <v>22.985339848956016</v>
      </c>
      <c r="G9" s="778">
        <v>441.38</v>
      </c>
      <c r="H9" s="779">
        <v>14.6</v>
      </c>
      <c r="I9" s="779">
        <v>3.3078073315510443</v>
      </c>
      <c r="J9" s="779">
        <v>71.900000000000006</v>
      </c>
      <c r="K9" s="779">
        <v>43.956459820939521</v>
      </c>
      <c r="L9" s="779">
        <v>16.289818297158913</v>
      </c>
      <c r="M9" s="779">
        <v>7.1604274346947117</v>
      </c>
    </row>
    <row r="10" spans="1:13">
      <c r="A10" s="1100">
        <v>6</v>
      </c>
      <c r="B10" s="1101" t="s">
        <v>85</v>
      </c>
      <c r="C10" s="1103">
        <v>10430.51</v>
      </c>
      <c r="D10" s="778">
        <f t="shared" si="0"/>
        <v>1790.2299999999996</v>
      </c>
      <c r="E10" s="778">
        <v>545</v>
      </c>
      <c r="F10" s="778">
        <v>30.443015701893053</v>
      </c>
      <c r="G10" s="778">
        <v>8640.2800000000007</v>
      </c>
      <c r="H10" s="778">
        <v>3050</v>
      </c>
      <c r="I10" s="778">
        <v>35.299781951510823</v>
      </c>
      <c r="J10" s="778">
        <v>2439.7800000000002</v>
      </c>
      <c r="K10" s="779">
        <v>82.836601470110281</v>
      </c>
      <c r="L10" s="778">
        <v>28.237279347428554</v>
      </c>
      <c r="M10" s="779">
        <v>23.390802559031151</v>
      </c>
    </row>
    <row r="11" spans="1:13">
      <c r="A11" s="1100">
        <v>7</v>
      </c>
      <c r="B11" s="1101" t="s">
        <v>17</v>
      </c>
      <c r="C11" s="337">
        <v>4193.83</v>
      </c>
      <c r="D11" s="778">
        <f t="shared" si="0"/>
        <v>1678.85</v>
      </c>
      <c r="E11" s="778">
        <v>229</v>
      </c>
      <c r="F11" s="778">
        <v>13.640289483872889</v>
      </c>
      <c r="G11" s="778">
        <v>2514.98</v>
      </c>
      <c r="H11" s="778">
        <v>336</v>
      </c>
      <c r="I11" s="778">
        <v>13.359947196399176</v>
      </c>
      <c r="J11" s="778">
        <v>1175.77</v>
      </c>
      <c r="K11" s="779">
        <v>59.968572879682768</v>
      </c>
      <c r="L11" s="778">
        <v>46.750669985447203</v>
      </c>
      <c r="M11" s="779">
        <v>28.035709601962882</v>
      </c>
    </row>
    <row r="12" spans="1:13">
      <c r="A12" s="1100">
        <v>8</v>
      </c>
      <c r="B12" s="1101" t="s">
        <v>26</v>
      </c>
      <c r="C12" s="1103">
        <v>7818.77</v>
      </c>
      <c r="D12" s="778">
        <f t="shared" si="0"/>
        <v>6763.43</v>
      </c>
      <c r="E12" s="778">
        <v>76</v>
      </c>
      <c r="F12" s="778">
        <v>1.1236901986122427</v>
      </c>
      <c r="G12" s="778">
        <v>1055.3399999999999</v>
      </c>
      <c r="H12" s="778">
        <v>43.77</v>
      </c>
      <c r="I12" s="778">
        <v>4.1474785377224404</v>
      </c>
      <c r="J12" s="778">
        <v>279.39999999999998</v>
      </c>
      <c r="K12" s="779">
        <v>13.49751943080561</v>
      </c>
      <c r="L12" s="778">
        <v>26.474880133416718</v>
      </c>
      <c r="M12" s="779">
        <v>3.5734520902904161</v>
      </c>
    </row>
    <row r="13" spans="1:13">
      <c r="A13" s="1100">
        <v>9</v>
      </c>
      <c r="B13" s="1101" t="s">
        <v>11</v>
      </c>
      <c r="C13" s="1103">
        <v>4112.3900000000003</v>
      </c>
      <c r="D13" s="778">
        <f t="shared" si="0"/>
        <v>3906.7400000000002</v>
      </c>
      <c r="E13" s="778">
        <v>0</v>
      </c>
      <c r="F13" s="778">
        <v>0</v>
      </c>
      <c r="G13" s="778">
        <v>205.65</v>
      </c>
      <c r="H13" s="778">
        <v>0</v>
      </c>
      <c r="I13" s="778">
        <v>0</v>
      </c>
      <c r="J13" s="778">
        <v>65.66</v>
      </c>
      <c r="K13" s="779">
        <v>5.0007416611751312</v>
      </c>
      <c r="L13" s="778">
        <v>31.928033065888641</v>
      </c>
      <c r="M13" s="779">
        <v>1.5966384511196652</v>
      </c>
    </row>
    <row r="14" spans="1:13">
      <c r="A14" s="1100">
        <v>10</v>
      </c>
      <c r="B14" s="1101" t="s">
        <v>90</v>
      </c>
      <c r="C14" s="337">
        <v>2052.59</v>
      </c>
      <c r="D14" s="778">
        <f t="shared" si="0"/>
        <v>236.43000000000006</v>
      </c>
      <c r="E14" s="778">
        <v>0</v>
      </c>
      <c r="F14" s="778">
        <v>0</v>
      </c>
      <c r="G14" s="778">
        <v>1816.16</v>
      </c>
      <c r="H14" s="778">
        <v>373.19</v>
      </c>
      <c r="I14" s="778">
        <v>20.548299709276716</v>
      </c>
      <c r="J14" s="778">
        <v>1758.32</v>
      </c>
      <c r="K14" s="779">
        <v>88.48138205876478</v>
      </c>
      <c r="L14" s="778">
        <v>96.815258567527081</v>
      </c>
      <c r="M14" s="779">
        <v>85.663478824314637</v>
      </c>
    </row>
    <row r="15" spans="1:13">
      <c r="A15" s="1100">
        <v>11</v>
      </c>
      <c r="B15" s="1101" t="s">
        <v>92</v>
      </c>
      <c r="C15" s="97">
        <v>5663.8</v>
      </c>
      <c r="D15" s="778">
        <f t="shared" si="0"/>
        <v>298</v>
      </c>
      <c r="E15" s="778">
        <v>12.46</v>
      </c>
      <c r="F15" s="778">
        <v>4.1812080536912752</v>
      </c>
      <c r="G15" s="778">
        <v>5365.8</v>
      </c>
      <c r="H15" s="778">
        <v>129.28</v>
      </c>
      <c r="I15" s="778">
        <v>2.4093331842409333</v>
      </c>
      <c r="J15" s="778">
        <v>1590.87</v>
      </c>
      <c r="K15" s="779">
        <v>94.7385147780642</v>
      </c>
      <c r="L15" s="778">
        <v>29.648328301464829</v>
      </c>
      <c r="M15" s="779">
        <v>28.088385889332244</v>
      </c>
    </row>
    <row r="16" spans="1:13">
      <c r="A16" s="776">
        <v>12</v>
      </c>
      <c r="B16" s="777" t="s">
        <v>51</v>
      </c>
      <c r="C16" s="135">
        <v>353.38</v>
      </c>
      <c r="D16" s="778">
        <f t="shared" si="0"/>
        <v>258.13</v>
      </c>
      <c r="E16" s="778">
        <v>1.87</v>
      </c>
      <c r="F16" s="779">
        <v>0.72444117305233802</v>
      </c>
      <c r="G16" s="778">
        <v>95.25</v>
      </c>
      <c r="H16" s="779">
        <v>11.81</v>
      </c>
      <c r="I16" s="779">
        <v>13.49</v>
      </c>
      <c r="J16" s="779">
        <v>35.07</v>
      </c>
      <c r="K16" s="779">
        <v>26.953987209236519</v>
      </c>
      <c r="L16" s="779">
        <v>36.818897637795274</v>
      </c>
      <c r="M16" s="779">
        <v>9.9241609598732232</v>
      </c>
    </row>
    <row r="17" spans="1:13">
      <c r="A17" s="776">
        <v>13</v>
      </c>
      <c r="B17" s="777" t="s">
        <v>52</v>
      </c>
      <c r="C17" s="135">
        <v>656.67</v>
      </c>
      <c r="D17" s="778">
        <f t="shared" si="0"/>
        <v>87.360000000000014</v>
      </c>
      <c r="E17" s="778">
        <v>10.050000000000001</v>
      </c>
      <c r="F17" s="779">
        <v>11.50412087912088</v>
      </c>
      <c r="G17" s="778">
        <v>569.30999999999995</v>
      </c>
      <c r="H17" s="779">
        <v>14.23</v>
      </c>
      <c r="I17" s="779">
        <v>2.4995169591259598</v>
      </c>
      <c r="J17" s="779">
        <v>60.62</v>
      </c>
      <c r="K17" s="779">
        <v>86.696514230892234</v>
      </c>
      <c r="L17" s="779">
        <v>10.647977376121974</v>
      </c>
      <c r="M17" s="779">
        <v>9.2314252211917704</v>
      </c>
    </row>
    <row r="18" spans="1:13">
      <c r="A18" s="1100">
        <v>14</v>
      </c>
      <c r="B18" s="1101" t="s">
        <v>28</v>
      </c>
      <c r="C18" s="1104">
        <v>8683.15</v>
      </c>
      <c r="D18" s="778">
        <f t="shared" si="0"/>
        <v>2594.3199999999997</v>
      </c>
      <c r="E18" s="778">
        <v>408.56</v>
      </c>
      <c r="F18" s="778">
        <v>15.748250023127447</v>
      </c>
      <c r="G18" s="778">
        <v>6088.83</v>
      </c>
      <c r="H18" s="778">
        <v>1841</v>
      </c>
      <c r="I18" s="778">
        <v>589</v>
      </c>
      <c r="J18" s="778">
        <v>5702.03</v>
      </c>
      <c r="K18" s="778">
        <v>70.122363428018645</v>
      </c>
      <c r="L18" s="778">
        <v>93.647383815938355</v>
      </c>
      <c r="M18" s="778">
        <v>65.667758820243805</v>
      </c>
    </row>
    <row r="19" spans="1:13">
      <c r="A19" s="1100">
        <v>15</v>
      </c>
      <c r="B19" s="1101" t="s">
        <v>10</v>
      </c>
      <c r="C19" s="337">
        <v>225603.93</v>
      </c>
      <c r="D19" s="778">
        <f t="shared" si="0"/>
        <v>200186.59999999998</v>
      </c>
      <c r="E19" s="778">
        <v>1715.52</v>
      </c>
      <c r="F19" s="778">
        <v>0.85696045589465042</v>
      </c>
      <c r="G19" s="778">
        <v>25417.33</v>
      </c>
      <c r="H19" s="778">
        <v>6317</v>
      </c>
      <c r="I19" s="778">
        <v>24.853121866065397</v>
      </c>
      <c r="J19" s="778">
        <v>23630</v>
      </c>
      <c r="K19" s="779">
        <v>11.266350723588904</v>
      </c>
      <c r="L19" s="778">
        <v>92.968065489176084</v>
      </c>
      <c r="M19" s="779">
        <v>10.474108318946394</v>
      </c>
    </row>
    <row r="20" spans="1:13">
      <c r="A20" s="1100">
        <v>16</v>
      </c>
      <c r="B20" s="1101" t="s">
        <v>98</v>
      </c>
      <c r="C20" s="1104">
        <v>1465.3</v>
      </c>
      <c r="D20" s="778">
        <f t="shared" si="0"/>
        <v>527.75</v>
      </c>
      <c r="E20" s="778">
        <v>32.450000000000003</v>
      </c>
      <c r="F20" s="778">
        <v>6.1487446707721469</v>
      </c>
      <c r="G20" s="778">
        <v>937.55</v>
      </c>
      <c r="H20" s="778">
        <v>264.82</v>
      </c>
      <c r="I20" s="778">
        <v>28.245960215455177</v>
      </c>
      <c r="J20" s="778">
        <v>301.25</v>
      </c>
      <c r="K20" s="779">
        <v>63.983484610659936</v>
      </c>
      <c r="L20" s="778">
        <v>32.131619646952167</v>
      </c>
      <c r="M20" s="779">
        <v>20.558929911963421</v>
      </c>
    </row>
    <row r="21" spans="1:13">
      <c r="A21" s="776">
        <v>17</v>
      </c>
      <c r="B21" s="777" t="s">
        <v>35</v>
      </c>
      <c r="C21" s="1105">
        <v>4382.79</v>
      </c>
      <c r="D21" s="778">
        <f t="shared" si="0"/>
        <v>977.00999999999976</v>
      </c>
      <c r="E21" s="778">
        <v>6.48</v>
      </c>
      <c r="F21" s="779">
        <v>0.66324807320293555</v>
      </c>
      <c r="G21" s="778">
        <v>3405.78</v>
      </c>
      <c r="H21" s="779">
        <v>26.65</v>
      </c>
      <c r="I21" s="779">
        <v>0.78249329081737506</v>
      </c>
      <c r="J21" s="779">
        <v>550.48</v>
      </c>
      <c r="K21" s="779">
        <v>77.70803529258761</v>
      </c>
      <c r="L21" s="779">
        <v>16.163110946684753</v>
      </c>
      <c r="M21" s="779">
        <v>12.560035958829879</v>
      </c>
    </row>
    <row r="22" spans="1:13">
      <c r="A22" s="1100">
        <v>18</v>
      </c>
      <c r="B22" s="1101" t="s">
        <v>54</v>
      </c>
      <c r="C22" s="337">
        <v>8023.25</v>
      </c>
      <c r="D22" s="778">
        <f t="shared" si="0"/>
        <v>454.42000000000007</v>
      </c>
      <c r="E22" s="778">
        <v>214.26</v>
      </c>
      <c r="F22" s="778">
        <v>0</v>
      </c>
      <c r="G22" s="778">
        <v>7568.83</v>
      </c>
      <c r="H22" s="778">
        <v>3825.01</v>
      </c>
      <c r="I22" s="778">
        <v>50.536344454823272</v>
      </c>
      <c r="J22" s="778">
        <v>4744.76</v>
      </c>
      <c r="K22" s="779">
        <v>94.336210388558257</v>
      </c>
      <c r="L22" s="778">
        <v>62.688156557882792</v>
      </c>
      <c r="M22" s="779">
        <v>59.137631259153089</v>
      </c>
    </row>
    <row r="23" spans="1:13">
      <c r="A23" s="1100">
        <v>19</v>
      </c>
      <c r="B23" s="1101" t="s">
        <v>102</v>
      </c>
      <c r="C23" s="337">
        <v>782.29</v>
      </c>
      <c r="D23" s="778">
        <f t="shared" si="0"/>
        <v>424.58</v>
      </c>
      <c r="E23" s="778">
        <v>17.79</v>
      </c>
      <c r="F23" s="778">
        <v>4.1900230816336146</v>
      </c>
      <c r="G23" s="778">
        <v>357.71</v>
      </c>
      <c r="H23" s="778">
        <v>30.41</v>
      </c>
      <c r="I23" s="778">
        <v>8.5012999357021055</v>
      </c>
      <c r="J23" s="778">
        <v>190.36</v>
      </c>
      <c r="K23" s="779">
        <v>45.726009536105536</v>
      </c>
      <c r="L23" s="778">
        <v>29.43</v>
      </c>
      <c r="M23" s="779">
        <v>24.333686995871098</v>
      </c>
    </row>
    <row r="24" spans="1:13">
      <c r="A24" s="776">
        <v>20</v>
      </c>
      <c r="B24" s="777" t="s">
        <v>104</v>
      </c>
      <c r="C24" s="135">
        <v>21850</v>
      </c>
      <c r="D24" s="778">
        <f t="shared" si="0"/>
        <v>5970.6399999999994</v>
      </c>
      <c r="E24" s="778">
        <v>171.75</v>
      </c>
      <c r="F24" s="779">
        <v>2.8765760454490645</v>
      </c>
      <c r="G24" s="778">
        <v>15879.36</v>
      </c>
      <c r="H24" s="779">
        <v>1014.95</v>
      </c>
      <c r="I24" s="779">
        <v>6.3916303931644602</v>
      </c>
      <c r="J24" s="779">
        <v>9714.5</v>
      </c>
      <c r="K24" s="779">
        <v>72.674416475972549</v>
      </c>
      <c r="L24" s="779">
        <v>61.17689881708079</v>
      </c>
      <c r="M24" s="779">
        <v>44.459954233409611</v>
      </c>
    </row>
    <row r="25" spans="1:13">
      <c r="A25" s="776">
        <v>21</v>
      </c>
      <c r="B25" s="777" t="s">
        <v>106</v>
      </c>
      <c r="C25" s="135">
        <v>0</v>
      </c>
      <c r="D25" s="778">
        <f t="shared" si="0"/>
        <v>0</v>
      </c>
      <c r="E25" s="778">
        <v>0</v>
      </c>
      <c r="F25" s="779">
        <v>0</v>
      </c>
      <c r="G25" s="778">
        <v>0</v>
      </c>
      <c r="H25" s="779">
        <v>0</v>
      </c>
      <c r="I25" s="779">
        <v>0</v>
      </c>
      <c r="J25" s="779">
        <v>0</v>
      </c>
      <c r="K25" s="779">
        <v>0</v>
      </c>
      <c r="L25" s="779">
        <v>0</v>
      </c>
      <c r="M25" s="779">
        <v>0</v>
      </c>
    </row>
    <row r="26" spans="1:13">
      <c r="A26" s="1106">
        <v>22</v>
      </c>
      <c r="B26" s="1107" t="s">
        <v>108</v>
      </c>
      <c r="C26" s="337">
        <v>743.08</v>
      </c>
      <c r="D26" s="778">
        <f t="shared" si="0"/>
        <v>213.57000000000005</v>
      </c>
      <c r="E26" s="778">
        <v>0</v>
      </c>
      <c r="F26" s="778">
        <v>0</v>
      </c>
      <c r="G26" s="778">
        <v>529.51</v>
      </c>
      <c r="H26" s="778">
        <v>0</v>
      </c>
      <c r="I26" s="778">
        <v>0</v>
      </c>
      <c r="J26" s="778">
        <v>103.6</v>
      </c>
      <c r="K26" s="779">
        <v>71.258814663293307</v>
      </c>
      <c r="L26" s="778">
        <v>19.565258446488262</v>
      </c>
      <c r="M26" s="779">
        <v>13.94197125477741</v>
      </c>
    </row>
    <row r="27" spans="1:13">
      <c r="A27" s="1108">
        <v>23</v>
      </c>
      <c r="B27" s="1109" t="s">
        <v>605</v>
      </c>
      <c r="C27" s="135">
        <v>0</v>
      </c>
      <c r="D27" s="778">
        <f t="shared" si="0"/>
        <v>0</v>
      </c>
      <c r="E27" s="778">
        <v>0</v>
      </c>
      <c r="F27" s="779">
        <v>0</v>
      </c>
      <c r="G27" s="778">
        <v>0</v>
      </c>
      <c r="H27" s="779">
        <v>0</v>
      </c>
      <c r="I27" s="779">
        <v>0</v>
      </c>
      <c r="J27" s="779">
        <v>0</v>
      </c>
      <c r="K27" s="779">
        <v>0</v>
      </c>
      <c r="L27" s="779">
        <v>0</v>
      </c>
      <c r="M27" s="779">
        <v>0</v>
      </c>
    </row>
    <row r="28" spans="1:13">
      <c r="A28" s="1108">
        <v>24</v>
      </c>
      <c r="B28" s="1109" t="s">
        <v>60</v>
      </c>
      <c r="C28" s="135">
        <v>5</v>
      </c>
      <c r="D28" s="778">
        <f t="shared" si="0"/>
        <v>5</v>
      </c>
      <c r="E28" s="778">
        <v>0</v>
      </c>
      <c r="F28" s="779">
        <v>0</v>
      </c>
      <c r="G28" s="778">
        <v>0</v>
      </c>
      <c r="H28" s="779">
        <v>0</v>
      </c>
      <c r="I28" s="779">
        <v>0</v>
      </c>
      <c r="J28" s="779">
        <v>0</v>
      </c>
      <c r="K28" s="779">
        <v>0</v>
      </c>
      <c r="L28" s="779">
        <v>0</v>
      </c>
      <c r="M28" s="779">
        <v>0</v>
      </c>
    </row>
    <row r="29" spans="1:13">
      <c r="A29" s="1476" t="s">
        <v>205</v>
      </c>
      <c r="B29" s="1477"/>
      <c r="C29" s="670">
        <f>SUM(C5:C28)</f>
        <v>323056.93999999994</v>
      </c>
      <c r="D29" s="670">
        <f>SUM(D5:D28)</f>
        <v>230840.96999999997</v>
      </c>
      <c r="E29" s="827">
        <v>3723.9999999999991</v>
      </c>
      <c r="F29" s="828">
        <v>1.6132318279549769</v>
      </c>
      <c r="G29" s="827">
        <v>92215.970000000016</v>
      </c>
      <c r="H29" s="828">
        <v>18040.86</v>
      </c>
      <c r="I29" s="828">
        <v>19.563704638144561</v>
      </c>
      <c r="J29" s="828">
        <v>57484.330000000009</v>
      </c>
      <c r="K29" s="779">
        <v>28.54480389741822</v>
      </c>
      <c r="L29" s="828">
        <v>62.33663214733847</v>
      </c>
      <c r="M29" s="779">
        <v>17.79386940271273</v>
      </c>
    </row>
    <row r="30" spans="1:13">
      <c r="A30" s="1100">
        <v>24</v>
      </c>
      <c r="B30" s="1101" t="s">
        <v>16</v>
      </c>
      <c r="C30" s="337">
        <v>17833.259999999998</v>
      </c>
      <c r="D30" s="778">
        <f>C30-G30</f>
        <v>6512.0299999999988</v>
      </c>
      <c r="E30" s="778">
        <v>200.76</v>
      </c>
      <c r="F30" s="778">
        <v>3.0829096303303269</v>
      </c>
      <c r="G30" s="778">
        <v>11321.23</v>
      </c>
      <c r="H30" s="778">
        <v>1209.32</v>
      </c>
      <c r="I30" s="778">
        <v>10.681878205813325</v>
      </c>
      <c r="J30" s="778">
        <v>7514.23</v>
      </c>
      <c r="K30" s="779">
        <v>63.483793765133242</v>
      </c>
      <c r="L30" s="778">
        <v>66.372911777253876</v>
      </c>
      <c r="M30" s="779">
        <v>42.136042428585689</v>
      </c>
    </row>
    <row r="31" spans="1:13">
      <c r="A31" s="1100">
        <v>25</v>
      </c>
      <c r="B31" s="1101" t="s">
        <v>110</v>
      </c>
      <c r="C31" s="337">
        <v>29773.48</v>
      </c>
      <c r="D31" s="778">
        <f>C31-G31</f>
        <v>18158.650000000001</v>
      </c>
      <c r="E31" s="778">
        <v>11229.57</v>
      </c>
      <c r="F31" s="778">
        <v>61.84143645039692</v>
      </c>
      <c r="G31" s="778">
        <v>11614.83</v>
      </c>
      <c r="H31" s="778">
        <v>7421.13</v>
      </c>
      <c r="I31" s="778">
        <v>63.89357399118196</v>
      </c>
      <c r="J31" s="778">
        <v>19617.2</v>
      </c>
      <c r="K31" s="779">
        <v>39.010656463403002</v>
      </c>
      <c r="L31" s="778">
        <v>74.473754673981446</v>
      </c>
      <c r="M31" s="779">
        <v>29.05270059126444</v>
      </c>
    </row>
    <row r="32" spans="1:13">
      <c r="A32" s="1476" t="s">
        <v>188</v>
      </c>
      <c r="B32" s="1477"/>
      <c r="C32" s="670">
        <f>SUM(C29:C31)</f>
        <v>370663.67999999993</v>
      </c>
      <c r="D32" s="670">
        <f>SUM(D29:D31)</f>
        <v>255511.64999999997</v>
      </c>
      <c r="E32" s="827">
        <v>15154.329999999998</v>
      </c>
      <c r="F32" s="828">
        <v>5.9309741845430528</v>
      </c>
      <c r="G32" s="827">
        <v>115152.03000000001</v>
      </c>
      <c r="H32" s="828">
        <v>26671.31</v>
      </c>
      <c r="I32" s="828">
        <v>23.161823547531032</v>
      </c>
      <c r="J32" s="828">
        <v>73648.560000000012</v>
      </c>
      <c r="K32" s="779">
        <v>31.066445463445469</v>
      </c>
      <c r="L32" s="828">
        <v>63.957674041873169</v>
      </c>
      <c r="M32" s="779">
        <v>19.869375925906748</v>
      </c>
    </row>
    <row r="33" spans="1:13">
      <c r="A33" s="776">
        <v>1</v>
      </c>
      <c r="B33" s="777" t="s">
        <v>119</v>
      </c>
      <c r="C33" s="135">
        <v>52383.17</v>
      </c>
      <c r="D33" s="778">
        <v>0</v>
      </c>
      <c r="E33" s="778">
        <v>0</v>
      </c>
      <c r="F33" s="779">
        <v>0</v>
      </c>
      <c r="G33" s="778">
        <v>52383.17</v>
      </c>
      <c r="H33" s="779">
        <v>0</v>
      </c>
      <c r="I33" s="779">
        <v>0</v>
      </c>
      <c r="J33" s="779">
        <v>0</v>
      </c>
      <c r="K33" s="779">
        <v>100</v>
      </c>
      <c r="L33" s="779">
        <v>0</v>
      </c>
      <c r="M33" s="779">
        <v>0</v>
      </c>
    </row>
    <row r="34" spans="1:13">
      <c r="A34" s="776">
        <v>2</v>
      </c>
      <c r="B34" s="777" t="s">
        <v>117</v>
      </c>
      <c r="C34" s="135">
        <v>8914.66</v>
      </c>
      <c r="D34" s="778">
        <f>C34-G34</f>
        <v>7217.6399999999994</v>
      </c>
      <c r="E34" s="778">
        <v>0</v>
      </c>
      <c r="F34" s="779">
        <v>0</v>
      </c>
      <c r="G34" s="778">
        <v>1697.02</v>
      </c>
      <c r="H34" s="779">
        <v>0</v>
      </c>
      <c r="I34" s="779">
        <v>0</v>
      </c>
      <c r="J34" s="779">
        <v>0</v>
      </c>
      <c r="K34" s="779">
        <v>19.036284053458012</v>
      </c>
      <c r="L34" s="779">
        <v>0</v>
      </c>
      <c r="M34" s="779">
        <v>0</v>
      </c>
    </row>
    <row r="35" spans="1:13">
      <c r="A35" s="1476" t="s">
        <v>206</v>
      </c>
      <c r="B35" s="1477"/>
      <c r="C35" s="670">
        <f>SUM(C32:C34)</f>
        <v>431961.50999999989</v>
      </c>
      <c r="D35" s="670">
        <f>SUM(D32:D34)</f>
        <v>262729.28999999998</v>
      </c>
      <c r="E35" s="827">
        <v>15154.329999999998</v>
      </c>
      <c r="F35" s="828">
        <v>5.7680397948778372</v>
      </c>
      <c r="G35" s="827">
        <v>169232.22</v>
      </c>
      <c r="H35" s="828">
        <v>26671.31</v>
      </c>
      <c r="I35" s="828">
        <v>15.760184437691594</v>
      </c>
      <c r="J35" s="828">
        <v>73648.560000000012</v>
      </c>
      <c r="K35" s="828">
        <v>39.177615616724751</v>
      </c>
      <c r="L35" s="828">
        <v>63.957674041873169</v>
      </c>
      <c r="M35" s="828">
        <v>17.049796867318115</v>
      </c>
    </row>
    <row r="36" spans="1:13">
      <c r="A36" s="1110"/>
      <c r="B36" s="1111" t="s">
        <v>136</v>
      </c>
      <c r="C36" s="1112"/>
      <c r="D36" s="1113"/>
      <c r="E36" s="1113"/>
      <c r="F36" s="1112"/>
      <c r="G36" s="1113"/>
      <c r="H36" s="1112"/>
      <c r="I36" s="1112"/>
      <c r="J36" s="1112"/>
      <c r="K36" s="1112"/>
      <c r="L36" s="1112"/>
      <c r="M36" s="1112"/>
    </row>
    <row r="37" spans="1:13">
      <c r="A37" s="1114"/>
      <c r="B37" s="1115" t="s">
        <v>13</v>
      </c>
      <c r="C37" s="1116">
        <v>419336.46</v>
      </c>
      <c r="D37" s="1117">
        <v>256836.91</v>
      </c>
      <c r="E37" s="1117">
        <v>15154.33</v>
      </c>
      <c r="F37" s="1116">
        <v>5.9</v>
      </c>
      <c r="G37" s="1117">
        <v>162499.54999999999</v>
      </c>
      <c r="H37" s="1116">
        <v>26045.81</v>
      </c>
      <c r="I37" s="1116">
        <v>16.03</v>
      </c>
      <c r="J37" s="1116">
        <v>60256.79</v>
      </c>
      <c r="K37" s="1116">
        <v>38.75</v>
      </c>
      <c r="L37" s="1116">
        <v>53.02</v>
      </c>
      <c r="M37" s="1116">
        <v>14.37</v>
      </c>
    </row>
  </sheetData>
  <mergeCells count="6">
    <mergeCell ref="A35:B35"/>
    <mergeCell ref="A1:M1"/>
    <mergeCell ref="A2:M2"/>
    <mergeCell ref="A3:M3"/>
    <mergeCell ref="A29:B29"/>
    <mergeCell ref="A32:B32"/>
  </mergeCells>
  <printOptions gridLines="1"/>
  <pageMargins left="0.7" right="0.7" top="0.75" bottom="0.75" header="0.3" footer="0.3"/>
  <pageSetup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M6" sqref="M6"/>
    </sheetView>
  </sheetViews>
  <sheetFormatPr defaultRowHeight="15"/>
  <cols>
    <col min="4" max="4" width="10" bestFit="1" customWidth="1"/>
  </cols>
  <sheetData>
    <row r="1" spans="1:12" ht="15.75">
      <c r="A1" s="1482">
        <v>22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</row>
    <row r="2" spans="1:12" ht="15.75">
      <c r="A2" s="1483" t="s">
        <v>606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</row>
    <row r="3" spans="1:12">
      <c r="A3" s="1484" t="s">
        <v>607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</row>
    <row r="4" spans="1:12" ht="38.25">
      <c r="A4" s="173" t="s">
        <v>130</v>
      </c>
      <c r="B4" s="174" t="s">
        <v>131</v>
      </c>
      <c r="C4" s="1118" t="s">
        <v>209</v>
      </c>
      <c r="D4" s="173" t="s">
        <v>210</v>
      </c>
      <c r="E4" s="1118" t="s">
        <v>211</v>
      </c>
      <c r="F4" s="1118" t="s">
        <v>212</v>
      </c>
      <c r="G4" s="173" t="s">
        <v>213</v>
      </c>
      <c r="H4" s="173" t="s">
        <v>214</v>
      </c>
      <c r="I4" s="173" t="s">
        <v>215</v>
      </c>
      <c r="J4" s="173" t="s">
        <v>216</v>
      </c>
      <c r="K4" s="173" t="s">
        <v>217</v>
      </c>
      <c r="L4" s="173" t="s">
        <v>218</v>
      </c>
    </row>
    <row r="5" spans="1:12">
      <c r="A5" s="1119">
        <v>1</v>
      </c>
      <c r="B5" s="1120" t="s">
        <v>78</v>
      </c>
      <c r="C5" s="753">
        <v>176</v>
      </c>
      <c r="D5" s="1121">
        <v>4960.38</v>
      </c>
      <c r="E5" s="754">
        <v>390</v>
      </c>
      <c r="F5" s="755">
        <v>345</v>
      </c>
      <c r="G5" s="773">
        <f t="shared" ref="G5:G30" si="0">F5/E5%</f>
        <v>88.461538461538467</v>
      </c>
      <c r="H5" s="774">
        <f>E5-F5</f>
        <v>45</v>
      </c>
      <c r="I5" s="774">
        <f t="shared" ref="I5:I31" si="1">H5/E5%</f>
        <v>11.538461538461538</v>
      </c>
      <c r="J5" s="773">
        <v>279.42</v>
      </c>
      <c r="K5" s="775">
        <f t="shared" ref="K5:K30" si="2">J5/D5%</f>
        <v>5.63303617867986</v>
      </c>
      <c r="L5" s="773">
        <v>81</v>
      </c>
    </row>
    <row r="6" spans="1:12">
      <c r="A6" s="771">
        <v>2</v>
      </c>
      <c r="B6" s="772" t="s">
        <v>27</v>
      </c>
      <c r="C6" s="753">
        <v>60</v>
      </c>
      <c r="D6" s="1121">
        <v>1733.13</v>
      </c>
      <c r="E6" s="754">
        <v>239.47</v>
      </c>
      <c r="F6" s="755">
        <v>238.37</v>
      </c>
      <c r="G6" s="773">
        <f t="shared" si="0"/>
        <v>99.540652273771258</v>
      </c>
      <c r="H6" s="774">
        <f t="shared" ref="H6:H25" si="3">E6-F6</f>
        <v>1.0999999999999943</v>
      </c>
      <c r="I6" s="774">
        <f>H6/E6%</f>
        <v>0.45934772622875281</v>
      </c>
      <c r="J6" s="773">
        <v>20.68</v>
      </c>
      <c r="K6" s="775">
        <f t="shared" si="2"/>
        <v>1.1932168965974852</v>
      </c>
      <c r="L6" s="773">
        <v>127.1</v>
      </c>
    </row>
    <row r="7" spans="1:12">
      <c r="A7" s="771">
        <v>3</v>
      </c>
      <c r="B7" s="772" t="s">
        <v>46</v>
      </c>
      <c r="C7" s="753">
        <v>217</v>
      </c>
      <c r="D7" s="1121">
        <v>514.63</v>
      </c>
      <c r="E7" s="754">
        <v>205</v>
      </c>
      <c r="F7" s="755">
        <v>96</v>
      </c>
      <c r="G7" s="773">
        <f t="shared" si="0"/>
        <v>46.829268292682933</v>
      </c>
      <c r="H7" s="774">
        <f>E7-F7</f>
        <v>109</v>
      </c>
      <c r="I7" s="774">
        <f t="shared" si="1"/>
        <v>53.170731707317081</v>
      </c>
      <c r="J7" s="773">
        <v>88.1</v>
      </c>
      <c r="K7" s="775">
        <f t="shared" si="2"/>
        <v>17.119095272331577</v>
      </c>
      <c r="L7" s="773">
        <v>36.08</v>
      </c>
    </row>
    <row r="8" spans="1:12">
      <c r="A8" s="449">
        <v>4</v>
      </c>
      <c r="B8" s="1122" t="s">
        <v>32</v>
      </c>
      <c r="C8" s="753">
        <v>1041</v>
      </c>
      <c r="D8" s="1123">
        <v>4118.78</v>
      </c>
      <c r="E8" s="166">
        <v>1270.5999999999999</v>
      </c>
      <c r="F8" s="755">
        <v>618</v>
      </c>
      <c r="G8" s="455">
        <f t="shared" si="0"/>
        <v>48.638438532976551</v>
      </c>
      <c r="H8" s="453">
        <f t="shared" si="3"/>
        <v>652.59999999999991</v>
      </c>
      <c r="I8" s="453">
        <f t="shared" si="1"/>
        <v>51.361561467023449</v>
      </c>
      <c r="J8" s="455">
        <v>476.3</v>
      </c>
      <c r="K8" s="452">
        <f t="shared" si="2"/>
        <v>11.564103933689104</v>
      </c>
      <c r="L8" s="455">
        <v>89.19</v>
      </c>
    </row>
    <row r="9" spans="1:12">
      <c r="A9" s="771">
        <v>5</v>
      </c>
      <c r="B9" s="772" t="s">
        <v>83</v>
      </c>
      <c r="C9" s="753">
        <v>61</v>
      </c>
      <c r="D9" s="1121">
        <v>441.38</v>
      </c>
      <c r="E9" s="754">
        <v>14.6</v>
      </c>
      <c r="F9" s="755">
        <v>0</v>
      </c>
      <c r="G9" s="773">
        <f t="shared" si="0"/>
        <v>0</v>
      </c>
      <c r="H9" s="774">
        <f t="shared" si="3"/>
        <v>14.6</v>
      </c>
      <c r="I9" s="774">
        <f t="shared" si="1"/>
        <v>100</v>
      </c>
      <c r="J9" s="773">
        <v>20.010000000000002</v>
      </c>
      <c r="K9" s="775">
        <f t="shared" si="2"/>
        <v>4.5335085413929042</v>
      </c>
      <c r="L9" s="773">
        <v>83.21</v>
      </c>
    </row>
    <row r="10" spans="1:12">
      <c r="A10" s="751">
        <v>6</v>
      </c>
      <c r="B10" s="752" t="s">
        <v>85</v>
      </c>
      <c r="C10" s="753">
        <v>1513</v>
      </c>
      <c r="D10" s="1123">
        <v>8640.2800000000007</v>
      </c>
      <c r="E10" s="754">
        <v>1037.7</v>
      </c>
      <c r="F10" s="755">
        <v>260.77</v>
      </c>
      <c r="G10" s="176">
        <f t="shared" si="0"/>
        <v>25.129613568468727</v>
      </c>
      <c r="H10" s="177">
        <f t="shared" si="3"/>
        <v>776.93000000000006</v>
      </c>
      <c r="I10" s="177">
        <f t="shared" si="1"/>
        <v>74.870386431531273</v>
      </c>
      <c r="J10" s="176">
        <v>2927.89</v>
      </c>
      <c r="K10" s="756">
        <f t="shared" si="2"/>
        <v>33.886517566560336</v>
      </c>
      <c r="L10" s="176">
        <v>707.03</v>
      </c>
    </row>
    <row r="11" spans="1:12">
      <c r="A11" s="751">
        <v>7</v>
      </c>
      <c r="B11" s="752" t="s">
        <v>17</v>
      </c>
      <c r="C11" s="753">
        <v>2105</v>
      </c>
      <c r="D11" s="1123">
        <v>2514.98</v>
      </c>
      <c r="E11" s="754">
        <v>705.6</v>
      </c>
      <c r="F11" s="755">
        <v>117.05</v>
      </c>
      <c r="G11" s="176">
        <f t="shared" si="0"/>
        <v>16.588718820861679</v>
      </c>
      <c r="H11" s="177">
        <f t="shared" si="3"/>
        <v>588.55000000000007</v>
      </c>
      <c r="I11" s="177">
        <f t="shared" si="1"/>
        <v>83.411281179138328</v>
      </c>
      <c r="J11" s="176">
        <v>222.54</v>
      </c>
      <c r="K11" s="756">
        <f t="shared" si="2"/>
        <v>8.8485793127579537</v>
      </c>
      <c r="L11" s="176">
        <v>241.5</v>
      </c>
    </row>
    <row r="12" spans="1:12">
      <c r="A12" s="751">
        <v>8</v>
      </c>
      <c r="B12" s="752" t="s">
        <v>26</v>
      </c>
      <c r="C12" s="753">
        <v>136</v>
      </c>
      <c r="D12" s="1121">
        <v>1055.3399999999999</v>
      </c>
      <c r="E12" s="754">
        <v>45.4</v>
      </c>
      <c r="F12" s="755">
        <v>40.629999999999995</v>
      </c>
      <c r="G12" s="176">
        <f t="shared" si="0"/>
        <v>89.493392070484575</v>
      </c>
      <c r="H12" s="177">
        <f t="shared" si="3"/>
        <v>4.7700000000000031</v>
      </c>
      <c r="I12" s="177">
        <f t="shared" si="1"/>
        <v>10.506607929515427</v>
      </c>
      <c r="J12" s="176">
        <v>48.34</v>
      </c>
      <c r="K12" s="756">
        <f t="shared" si="2"/>
        <v>4.5805143366118983</v>
      </c>
      <c r="L12" s="773">
        <v>773.17</v>
      </c>
    </row>
    <row r="13" spans="1:12">
      <c r="A13" s="771">
        <v>9</v>
      </c>
      <c r="B13" s="772" t="s">
        <v>11</v>
      </c>
      <c r="C13" s="753">
        <v>26</v>
      </c>
      <c r="D13" s="1121">
        <v>205.65</v>
      </c>
      <c r="E13" s="754">
        <v>0</v>
      </c>
      <c r="F13" s="755">
        <v>0</v>
      </c>
      <c r="G13" s="773">
        <v>0</v>
      </c>
      <c r="H13" s="774">
        <f t="shared" si="3"/>
        <v>0</v>
      </c>
      <c r="I13" s="774">
        <v>0</v>
      </c>
      <c r="J13" s="773">
        <f>[1]AGRI!J13+[1]INDSTRY!J13+[1]SERV!J13</f>
        <v>0</v>
      </c>
      <c r="K13" s="775">
        <f t="shared" si="2"/>
        <v>0</v>
      </c>
      <c r="L13" s="773">
        <v>151.96</v>
      </c>
    </row>
    <row r="14" spans="1:12">
      <c r="A14" s="771">
        <v>10</v>
      </c>
      <c r="B14" s="772" t="s">
        <v>90</v>
      </c>
      <c r="C14" s="753">
        <v>419</v>
      </c>
      <c r="D14" s="1121">
        <v>1816.16</v>
      </c>
      <c r="E14" s="1124">
        <v>948.06</v>
      </c>
      <c r="F14" s="755">
        <v>0</v>
      </c>
      <c r="G14" s="773">
        <f t="shared" si="0"/>
        <v>0</v>
      </c>
      <c r="H14" s="774">
        <f>E14-F14</f>
        <v>948.06</v>
      </c>
      <c r="I14" s="774">
        <f t="shared" si="1"/>
        <v>100</v>
      </c>
      <c r="J14" s="773">
        <v>362.17</v>
      </c>
      <c r="K14" s="775">
        <f t="shared" si="2"/>
        <v>19.94152497577306</v>
      </c>
      <c r="L14" s="773">
        <v>40.950000000000003</v>
      </c>
    </row>
    <row r="15" spans="1:12">
      <c r="A15" s="449">
        <v>11</v>
      </c>
      <c r="B15" s="1122" t="s">
        <v>92</v>
      </c>
      <c r="C15" s="753">
        <v>277</v>
      </c>
      <c r="D15" s="1121">
        <v>5365.8</v>
      </c>
      <c r="E15" s="163">
        <v>508.93</v>
      </c>
      <c r="F15" s="755">
        <v>12.45</v>
      </c>
      <c r="G15" s="455">
        <f t="shared" si="0"/>
        <v>2.4463089226416206</v>
      </c>
      <c r="H15" s="453">
        <f t="shared" si="3"/>
        <v>496.48</v>
      </c>
      <c r="I15" s="453">
        <f t="shared" si="1"/>
        <v>97.553691077358394</v>
      </c>
      <c r="J15" s="455">
        <v>191.36</v>
      </c>
      <c r="K15" s="452">
        <f t="shared" si="2"/>
        <v>3.5662902083566292</v>
      </c>
      <c r="L15" s="1125">
        <v>3116.24</v>
      </c>
    </row>
    <row r="16" spans="1:12">
      <c r="A16" s="771">
        <v>12</v>
      </c>
      <c r="B16" s="772" t="s">
        <v>51</v>
      </c>
      <c r="C16" s="753">
        <v>31</v>
      </c>
      <c r="D16" s="1121">
        <v>95.25</v>
      </c>
      <c r="E16" s="1124">
        <v>8.94</v>
      </c>
      <c r="F16" s="755">
        <v>0.34</v>
      </c>
      <c r="G16" s="773">
        <f t="shared" si="0"/>
        <v>3.8031319910514547</v>
      </c>
      <c r="H16" s="774">
        <f t="shared" si="3"/>
        <v>8.6</v>
      </c>
      <c r="I16" s="774">
        <f t="shared" si="1"/>
        <v>96.196868008948556</v>
      </c>
      <c r="J16" s="773">
        <v>12.68</v>
      </c>
      <c r="K16" s="775">
        <f t="shared" si="2"/>
        <v>13.312335958005249</v>
      </c>
      <c r="L16" s="773">
        <v>44.21</v>
      </c>
    </row>
    <row r="17" spans="1:12">
      <c r="A17" s="771">
        <v>13</v>
      </c>
      <c r="B17" s="772" t="s">
        <v>52</v>
      </c>
      <c r="C17" s="753">
        <v>45</v>
      </c>
      <c r="D17" s="1121">
        <v>569.30999999999995</v>
      </c>
      <c r="E17" s="1124">
        <v>9.1999999999999993</v>
      </c>
      <c r="F17" s="755">
        <v>1.66</v>
      </c>
      <c r="G17" s="773">
        <v>0</v>
      </c>
      <c r="H17" s="774">
        <f t="shared" si="3"/>
        <v>7.5399999999999991</v>
      </c>
      <c r="I17" s="774">
        <f t="shared" si="1"/>
        <v>81.956521739130423</v>
      </c>
      <c r="J17" s="773">
        <v>9.93</v>
      </c>
      <c r="K17" s="775">
        <f t="shared" si="2"/>
        <v>1.7442166833535333</v>
      </c>
      <c r="L17" s="773">
        <v>43.5</v>
      </c>
    </row>
    <row r="18" spans="1:12">
      <c r="A18" s="771">
        <v>14</v>
      </c>
      <c r="B18" s="772" t="s">
        <v>28</v>
      </c>
      <c r="C18" s="753">
        <v>4173</v>
      </c>
      <c r="D18" s="1121">
        <v>6088.83</v>
      </c>
      <c r="E18" s="754">
        <v>676.5</v>
      </c>
      <c r="F18" s="755">
        <v>169.35</v>
      </c>
      <c r="G18" s="773">
        <f t="shared" si="0"/>
        <v>25.033259423503328</v>
      </c>
      <c r="H18" s="774">
        <f t="shared" si="3"/>
        <v>507.15</v>
      </c>
      <c r="I18" s="774">
        <f t="shared" si="1"/>
        <v>74.966740576496676</v>
      </c>
      <c r="J18" s="773">
        <v>735.37</v>
      </c>
      <c r="K18" s="775">
        <f t="shared" si="2"/>
        <v>12.077361332144271</v>
      </c>
      <c r="L18" s="773">
        <v>113.45</v>
      </c>
    </row>
    <row r="19" spans="1:12">
      <c r="A19" s="1126">
        <v>15</v>
      </c>
      <c r="B19" s="1127" t="s">
        <v>10</v>
      </c>
      <c r="C19" s="753">
        <v>14031</v>
      </c>
      <c r="D19" s="1121">
        <v>25417.33</v>
      </c>
      <c r="E19" s="166">
        <v>8285</v>
      </c>
      <c r="F19" s="755">
        <v>4760</v>
      </c>
      <c r="G19" s="1125">
        <v>70.25</v>
      </c>
      <c r="H19" s="1128">
        <f>E19-F19</f>
        <v>3525</v>
      </c>
      <c r="I19" s="1128">
        <f t="shared" si="1"/>
        <v>42.546771273385637</v>
      </c>
      <c r="J19" s="1125">
        <v>6521.62</v>
      </c>
      <c r="K19" s="1129">
        <f t="shared" si="2"/>
        <v>25.658163150889568</v>
      </c>
      <c r="L19" s="1125">
        <v>4373.68</v>
      </c>
    </row>
    <row r="20" spans="1:12">
      <c r="A20" s="771">
        <v>16</v>
      </c>
      <c r="B20" s="772" t="s">
        <v>98</v>
      </c>
      <c r="C20" s="753">
        <v>447</v>
      </c>
      <c r="D20" s="1121">
        <v>937.55</v>
      </c>
      <c r="E20" s="1124">
        <v>167.36</v>
      </c>
      <c r="F20" s="755">
        <v>38.75</v>
      </c>
      <c r="G20" s="773">
        <f t="shared" si="0"/>
        <v>23.153680688336518</v>
      </c>
      <c r="H20" s="774">
        <f t="shared" si="3"/>
        <v>128.61000000000001</v>
      </c>
      <c r="I20" s="774">
        <f t="shared" si="1"/>
        <v>76.846319311663478</v>
      </c>
      <c r="J20" s="773">
        <v>104.85</v>
      </c>
      <c r="K20" s="775">
        <f t="shared" si="2"/>
        <v>11.183403551810571</v>
      </c>
      <c r="L20" s="773">
        <v>38.409999999999997</v>
      </c>
    </row>
    <row r="21" spans="1:12">
      <c r="A21" s="751">
        <v>17</v>
      </c>
      <c r="B21" s="752" t="s">
        <v>35</v>
      </c>
      <c r="C21" s="753">
        <v>1428</v>
      </c>
      <c r="D21" s="1123">
        <v>3405.78</v>
      </c>
      <c r="E21" s="754">
        <v>798.53</v>
      </c>
      <c r="F21" s="755">
        <v>152.63</v>
      </c>
      <c r="G21" s="176">
        <f t="shared" si="0"/>
        <v>19.113871739321002</v>
      </c>
      <c r="H21" s="177">
        <f t="shared" si="3"/>
        <v>645.9</v>
      </c>
      <c r="I21" s="177">
        <f t="shared" si="1"/>
        <v>80.886128260679001</v>
      </c>
      <c r="J21" s="176">
        <v>26.65</v>
      </c>
      <c r="K21" s="756">
        <f t="shared" si="2"/>
        <v>0.78249329081737506</v>
      </c>
      <c r="L21" s="176">
        <v>158.77000000000001</v>
      </c>
    </row>
    <row r="22" spans="1:12">
      <c r="A22" s="1126">
        <v>18</v>
      </c>
      <c r="B22" s="1127" t="s">
        <v>54</v>
      </c>
      <c r="C22" s="753">
        <v>1108</v>
      </c>
      <c r="D22" s="1121">
        <v>7568.83</v>
      </c>
      <c r="E22" s="163">
        <v>4470.22</v>
      </c>
      <c r="F22" s="755">
        <v>208</v>
      </c>
      <c r="G22" s="1125">
        <f t="shared" si="0"/>
        <v>4.6530148404329088</v>
      </c>
      <c r="H22" s="1128">
        <f t="shared" si="3"/>
        <v>4262.22</v>
      </c>
      <c r="I22" s="1128">
        <f t="shared" si="1"/>
        <v>95.346985159567083</v>
      </c>
      <c r="J22" s="1125">
        <v>3932.58</v>
      </c>
      <c r="K22" s="1129">
        <f t="shared" si="2"/>
        <v>51.957568078553756</v>
      </c>
      <c r="L22" s="1125">
        <v>696.83</v>
      </c>
    </row>
    <row r="23" spans="1:12">
      <c r="A23" s="1126">
        <v>19</v>
      </c>
      <c r="B23" s="1127" t="s">
        <v>102</v>
      </c>
      <c r="C23" s="753">
        <v>295</v>
      </c>
      <c r="D23" s="1121">
        <v>357.71</v>
      </c>
      <c r="E23" s="166">
        <v>115.19</v>
      </c>
      <c r="F23" s="755">
        <v>9.0500000000000007</v>
      </c>
      <c r="G23" s="1125">
        <f t="shared" si="0"/>
        <v>7.8565847729837675</v>
      </c>
      <c r="H23" s="1128">
        <f t="shared" si="3"/>
        <v>106.14</v>
      </c>
      <c r="I23" s="1128">
        <f t="shared" si="1"/>
        <v>92.143415227016234</v>
      </c>
      <c r="J23" s="1125">
        <v>29.43</v>
      </c>
      <c r="K23" s="1129">
        <f t="shared" si="2"/>
        <v>8.2273349920326524</v>
      </c>
      <c r="L23" s="1125">
        <v>114.42</v>
      </c>
    </row>
    <row r="24" spans="1:12">
      <c r="A24" s="771">
        <v>20</v>
      </c>
      <c r="B24" s="772" t="s">
        <v>104</v>
      </c>
      <c r="C24" s="753">
        <v>1402</v>
      </c>
      <c r="D24" s="1121">
        <v>15879.36</v>
      </c>
      <c r="E24" s="754">
        <v>2362.7800000000002</v>
      </c>
      <c r="F24" s="755">
        <v>1124.98</v>
      </c>
      <c r="G24" s="773">
        <f t="shared" si="0"/>
        <v>47.612558088353552</v>
      </c>
      <c r="H24" s="774">
        <f t="shared" si="3"/>
        <v>1237.8000000000002</v>
      </c>
      <c r="I24" s="774">
        <f t="shared" si="1"/>
        <v>52.387441911646455</v>
      </c>
      <c r="J24" s="773">
        <v>705.05</v>
      </c>
      <c r="K24" s="775">
        <f t="shared" si="2"/>
        <v>4.4400404046510689</v>
      </c>
      <c r="L24" s="773">
        <v>6611.67</v>
      </c>
    </row>
    <row r="25" spans="1:12">
      <c r="A25" s="771">
        <v>21</v>
      </c>
      <c r="B25" s="772" t="s">
        <v>106</v>
      </c>
      <c r="C25" s="753">
        <v>0</v>
      </c>
      <c r="D25" s="1130">
        <v>0</v>
      </c>
      <c r="E25" s="754">
        <v>0</v>
      </c>
      <c r="F25" s="755">
        <v>0</v>
      </c>
      <c r="G25" s="773">
        <v>0</v>
      </c>
      <c r="H25" s="774">
        <f t="shared" si="3"/>
        <v>0</v>
      </c>
      <c r="I25" s="774">
        <v>0</v>
      </c>
      <c r="J25" s="773">
        <f>[1]AGRI!J25+[1]INDSTRY!J25+[1]SERV!J25</f>
        <v>0</v>
      </c>
      <c r="K25" s="775">
        <v>0</v>
      </c>
      <c r="L25" s="773">
        <f>[1]AGRI!L25+[1]INDSTRY!L25+[1]SERV!L25</f>
        <v>0</v>
      </c>
    </row>
    <row r="26" spans="1:12">
      <c r="A26" s="1131">
        <v>22</v>
      </c>
      <c r="B26" s="1127" t="s">
        <v>499</v>
      </c>
      <c r="C26" s="753">
        <v>55</v>
      </c>
      <c r="D26" s="1121">
        <v>529.51</v>
      </c>
      <c r="E26" s="166">
        <v>111.67</v>
      </c>
      <c r="F26" s="755">
        <v>111.67</v>
      </c>
      <c r="G26" s="1125">
        <f>F26/E26%</f>
        <v>100</v>
      </c>
      <c r="H26" s="1128">
        <f>E26-F26</f>
        <v>0</v>
      </c>
      <c r="I26" s="1128">
        <f>H26/E26%</f>
        <v>0</v>
      </c>
      <c r="J26" s="1125">
        <v>0</v>
      </c>
      <c r="K26" s="1129">
        <f>J26/D26%</f>
        <v>0</v>
      </c>
      <c r="L26" s="1125">
        <v>247.7</v>
      </c>
    </row>
    <row r="27" spans="1:12" ht="26.25">
      <c r="A27" s="1132">
        <v>23</v>
      </c>
      <c r="B27" s="772" t="s">
        <v>59</v>
      </c>
      <c r="C27" s="753">
        <v>0</v>
      </c>
      <c r="D27" s="1130">
        <v>0</v>
      </c>
      <c r="E27" s="754">
        <v>0</v>
      </c>
      <c r="F27" s="755">
        <v>0</v>
      </c>
      <c r="G27" s="773">
        <v>0</v>
      </c>
      <c r="H27" s="774">
        <v>0</v>
      </c>
      <c r="I27" s="774">
        <v>0</v>
      </c>
      <c r="J27" s="773">
        <v>0</v>
      </c>
      <c r="K27" s="775">
        <v>0</v>
      </c>
      <c r="L27" s="773">
        <v>0</v>
      </c>
    </row>
    <row r="28" spans="1:12">
      <c r="A28" s="1485" t="s">
        <v>205</v>
      </c>
      <c r="B28" s="1486"/>
      <c r="C28" s="831">
        <f>SUM(C5:C27)</f>
        <v>29046</v>
      </c>
      <c r="D28" s="1133">
        <f>SUM(D5:D27)</f>
        <v>92215.970000000016</v>
      </c>
      <c r="E28" s="1134">
        <f>SUM(E5:E27)</f>
        <v>22370.749999999996</v>
      </c>
      <c r="F28" s="1134">
        <f>SUM(F5:F27)</f>
        <v>8304.7000000000007</v>
      </c>
      <c r="G28" s="833">
        <f>F28/E28%</f>
        <v>37.123028955220555</v>
      </c>
      <c r="H28" s="1135">
        <f>E28-F28</f>
        <v>14066.049999999996</v>
      </c>
      <c r="I28" s="1135">
        <f t="shared" si="1"/>
        <v>62.876971044779452</v>
      </c>
      <c r="J28" s="833">
        <f>SUM(J5:J27)</f>
        <v>16714.97</v>
      </c>
      <c r="K28" s="1136">
        <f t="shared" si="2"/>
        <v>18.125895113395217</v>
      </c>
      <c r="L28" s="833">
        <f>SUM(L5:L27)</f>
        <v>17890.070000000003</v>
      </c>
    </row>
    <row r="29" spans="1:12">
      <c r="A29" s="1137">
        <v>1</v>
      </c>
      <c r="B29" s="1138" t="s">
        <v>16</v>
      </c>
      <c r="C29" s="1139">
        <v>4995</v>
      </c>
      <c r="D29" s="1121">
        <v>11321.23</v>
      </c>
      <c r="E29" s="1140">
        <v>2949.56</v>
      </c>
      <c r="F29" s="1141">
        <v>1787.79</v>
      </c>
      <c r="G29" s="1125">
        <f t="shared" si="0"/>
        <v>60.612091294972807</v>
      </c>
      <c r="H29" s="1125">
        <v>1209.32</v>
      </c>
      <c r="I29" s="1128">
        <f t="shared" si="1"/>
        <v>41.000013561344744</v>
      </c>
      <c r="J29" s="1125">
        <v>94.8</v>
      </c>
      <c r="K29" s="1129">
        <f t="shared" si="2"/>
        <v>0.83736484463260619</v>
      </c>
      <c r="L29" s="1125">
        <v>2712.52</v>
      </c>
    </row>
    <row r="30" spans="1:12">
      <c r="A30" s="771">
        <v>1</v>
      </c>
      <c r="B30" s="772" t="s">
        <v>110</v>
      </c>
      <c r="C30" s="1139">
        <v>13354</v>
      </c>
      <c r="D30" s="1121">
        <v>11614.83</v>
      </c>
      <c r="E30" s="1140">
        <v>2605.34</v>
      </c>
      <c r="F30" s="1141">
        <v>804.6</v>
      </c>
      <c r="G30" s="773">
        <f t="shared" si="0"/>
        <v>30.882725479208091</v>
      </c>
      <c r="H30" s="775">
        <f>E30-F30</f>
        <v>1800.7400000000002</v>
      </c>
      <c r="I30" s="774">
        <f t="shared" si="1"/>
        <v>69.117274520791923</v>
      </c>
      <c r="J30" s="773">
        <v>4645.93</v>
      </c>
      <c r="K30" s="775">
        <f t="shared" si="2"/>
        <v>39.99998278063476</v>
      </c>
      <c r="L30" s="773">
        <v>1038.08</v>
      </c>
    </row>
    <row r="31" spans="1:12">
      <c r="A31" s="1485" t="s">
        <v>188</v>
      </c>
      <c r="B31" s="1486"/>
      <c r="C31" s="831">
        <f>SUM(C28:C30)</f>
        <v>47395</v>
      </c>
      <c r="D31" s="1133">
        <f>SUM(D28:D30)</f>
        <v>115152.03000000001</v>
      </c>
      <c r="E31" s="1135">
        <f>SUM(E28:E30)</f>
        <v>27925.649999999998</v>
      </c>
      <c r="F31" s="1135">
        <f>SUM(F28:F30)</f>
        <v>10897.090000000002</v>
      </c>
      <c r="G31" s="1136">
        <f>F31/E31%</f>
        <v>39.021795374503384</v>
      </c>
      <c r="H31" s="1142">
        <f>SUM(H28:H30)</f>
        <v>17076.109999999997</v>
      </c>
      <c r="I31" s="1135">
        <f t="shared" si="1"/>
        <v>61.148478191196979</v>
      </c>
      <c r="J31" s="833">
        <f>SUM(J28:J30)</f>
        <v>21455.7</v>
      </c>
      <c r="K31" s="833">
        <f>J31/D31%</f>
        <v>18.632498272066936</v>
      </c>
      <c r="L31" s="1135">
        <f>SUM(L28:L30)</f>
        <v>21640.670000000006</v>
      </c>
    </row>
    <row r="32" spans="1:12">
      <c r="A32" s="1119">
        <v>1</v>
      </c>
      <c r="B32" s="772" t="s">
        <v>117</v>
      </c>
      <c r="C32" s="1143">
        <v>174</v>
      </c>
      <c r="D32" s="1130">
        <v>1697.02</v>
      </c>
      <c r="E32" s="773">
        <v>0</v>
      </c>
      <c r="F32" s="773">
        <v>0</v>
      </c>
      <c r="G32" s="773">
        <f>[1]INDSTRY!G32</f>
        <v>0</v>
      </c>
      <c r="H32" s="773">
        <f>[1]INDSTRY!H32</f>
        <v>0</v>
      </c>
      <c r="I32" s="773">
        <f>[1]INDSTRY!I32</f>
        <v>0</v>
      </c>
      <c r="J32" s="773">
        <v>0</v>
      </c>
      <c r="K32" s="773">
        <v>0</v>
      </c>
      <c r="L32" s="773">
        <v>0</v>
      </c>
    </row>
    <row r="33" spans="1:12">
      <c r="A33" s="771">
        <v>2</v>
      </c>
      <c r="B33" s="1120" t="s">
        <v>119</v>
      </c>
      <c r="C33" s="1143">
        <v>0</v>
      </c>
      <c r="D33" s="1130">
        <v>52383.17</v>
      </c>
      <c r="E33" s="774">
        <f>[1]AGRI!E32</f>
        <v>1E-3</v>
      </c>
      <c r="F33" s="774">
        <f>[1]AGRI!F32</f>
        <v>1E-3</v>
      </c>
      <c r="G33" s="774">
        <f>[1]AGRI!G32</f>
        <v>0</v>
      </c>
      <c r="H33" s="774">
        <f>[1]AGRI!H32</f>
        <v>0</v>
      </c>
      <c r="I33" s="774">
        <v>0</v>
      </c>
      <c r="J33" s="774">
        <f>[1]AGRI!J32</f>
        <v>0</v>
      </c>
      <c r="K33" s="774">
        <v>0</v>
      </c>
      <c r="L33" s="773">
        <v>0</v>
      </c>
    </row>
    <row r="34" spans="1:12" ht="26.25">
      <c r="A34" s="829" t="s">
        <v>206</v>
      </c>
      <c r="B34" s="830"/>
      <c r="C34" s="831">
        <f>SUM(C31:C33)</f>
        <v>47569</v>
      </c>
      <c r="D34" s="832">
        <f>SUM(D31:D33)</f>
        <v>169232.22000000003</v>
      </c>
      <c r="E34" s="832">
        <f>SUM(E31:E33)</f>
        <v>27925.650999999998</v>
      </c>
      <c r="F34" s="832">
        <f>SUM(F31:F33)</f>
        <v>10897.091000000002</v>
      </c>
      <c r="G34" s="833">
        <f>F34/E34%</f>
        <v>39.021797558094534</v>
      </c>
      <c r="H34" s="832">
        <f>SUM(H31:H33)</f>
        <v>17076.109999999997</v>
      </c>
      <c r="I34" s="833">
        <f>H34/E34%</f>
        <v>61.148476001508428</v>
      </c>
      <c r="J34" s="832">
        <f>SUM(J31:J33)</f>
        <v>21455.7</v>
      </c>
      <c r="K34" s="833">
        <f>J34/D34%</f>
        <v>12.67825949455724</v>
      </c>
      <c r="L34" s="832">
        <f>SUM(L31:L33)</f>
        <v>21640.670000000006</v>
      </c>
    </row>
    <row r="35" spans="1:12">
      <c r="A35" s="222"/>
      <c r="B35" s="320"/>
      <c r="C35" s="1480" t="s">
        <v>136</v>
      </c>
      <c r="D35" s="1481"/>
      <c r="E35" s="1144"/>
      <c r="F35" s="1144"/>
      <c r="G35" s="1145"/>
      <c r="H35" s="1144" t="s">
        <v>219</v>
      </c>
      <c r="I35" s="1145"/>
      <c r="J35" s="20"/>
      <c r="K35" s="20"/>
      <c r="L35" s="1146"/>
    </row>
    <row r="36" spans="1:12">
      <c r="A36" s="830"/>
      <c r="B36" s="1147" t="s">
        <v>13</v>
      </c>
      <c r="C36" s="842">
        <v>46200</v>
      </c>
      <c r="D36" s="842">
        <v>162499.54999999999</v>
      </c>
      <c r="E36" s="842">
        <v>28582.47</v>
      </c>
      <c r="F36" s="843">
        <v>9320.7000000000007</v>
      </c>
      <c r="G36" s="842">
        <v>32.61</v>
      </c>
      <c r="H36" s="842">
        <v>19309.32</v>
      </c>
      <c r="I36" s="842">
        <v>67.56</v>
      </c>
      <c r="J36" s="842">
        <v>26045.81</v>
      </c>
      <c r="K36" s="842">
        <v>16.03</v>
      </c>
      <c r="L36" s="842">
        <v>16429.28</v>
      </c>
    </row>
  </sheetData>
  <mergeCells count="6">
    <mergeCell ref="C35:D35"/>
    <mergeCell ref="A1:L1"/>
    <mergeCell ref="A2:L2"/>
    <mergeCell ref="A3:L3"/>
    <mergeCell ref="A28:B28"/>
    <mergeCell ref="A31:B31"/>
  </mergeCells>
  <printOptions gridLines="1"/>
  <pageMargins left="0.7" right="0.7" top="0.75" bottom="0.75" header="0.3" footer="0.3"/>
  <pageSetup scale="8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N4" sqref="N4"/>
    </sheetView>
  </sheetViews>
  <sheetFormatPr defaultRowHeight="15"/>
  <sheetData>
    <row r="1" spans="1:12">
      <c r="A1" s="1488">
        <v>23</v>
      </c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</row>
    <row r="2" spans="1:12">
      <c r="A2" s="1489" t="s">
        <v>222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</row>
    <row r="3" spans="1:12">
      <c r="A3" s="1489" t="s">
        <v>573</v>
      </c>
      <c r="B3" s="1489"/>
      <c r="C3" s="1489"/>
      <c r="D3" s="1489"/>
      <c r="E3" s="1489"/>
      <c r="F3" s="1489"/>
      <c r="G3" s="1489"/>
      <c r="H3" s="1489"/>
      <c r="I3" s="1489"/>
      <c r="J3" s="1489"/>
      <c r="K3" s="1489"/>
      <c r="L3" s="1489"/>
    </row>
    <row r="4" spans="1:12" ht="25.5">
      <c r="A4" s="199" t="s">
        <v>130</v>
      </c>
      <c r="B4" s="199" t="s">
        <v>131</v>
      </c>
      <c r="C4" s="199" t="s">
        <v>209</v>
      </c>
      <c r="D4" s="199" t="s">
        <v>210</v>
      </c>
      <c r="E4" s="199" t="s">
        <v>211</v>
      </c>
      <c r="F4" s="199" t="s">
        <v>212</v>
      </c>
      <c r="G4" s="199" t="s">
        <v>213</v>
      </c>
      <c r="H4" s="199" t="s">
        <v>214</v>
      </c>
      <c r="I4" s="199" t="s">
        <v>215</v>
      </c>
      <c r="J4" s="199" t="s">
        <v>216</v>
      </c>
      <c r="K4" s="199" t="s">
        <v>217</v>
      </c>
      <c r="L4" s="199" t="s">
        <v>218</v>
      </c>
    </row>
    <row r="5" spans="1:12">
      <c r="A5" s="200">
        <v>1</v>
      </c>
      <c r="B5" s="200" t="s">
        <v>78</v>
      </c>
      <c r="C5" s="134">
        <v>9</v>
      </c>
      <c r="D5" s="201">
        <v>4.5</v>
      </c>
      <c r="E5" s="203">
        <v>0</v>
      </c>
      <c r="F5" s="203">
        <v>0</v>
      </c>
      <c r="G5" s="203">
        <v>0</v>
      </c>
      <c r="H5" s="203">
        <f>E5-F5</f>
        <v>0</v>
      </c>
      <c r="I5" s="203">
        <v>0</v>
      </c>
      <c r="J5" s="201">
        <v>0</v>
      </c>
      <c r="K5" s="201">
        <f>J5/D5*100</f>
        <v>0</v>
      </c>
      <c r="L5" s="757">
        <v>1</v>
      </c>
    </row>
    <row r="6" spans="1:12">
      <c r="A6" s="780">
        <v>2</v>
      </c>
      <c r="B6" s="780" t="s">
        <v>27</v>
      </c>
      <c r="C6" s="134">
        <v>0</v>
      </c>
      <c r="D6" s="201">
        <v>1E-4</v>
      </c>
      <c r="E6" s="203">
        <v>0</v>
      </c>
      <c r="F6" s="203">
        <v>0</v>
      </c>
      <c r="G6" s="203">
        <v>0</v>
      </c>
      <c r="H6" s="203">
        <f>E6-F6</f>
        <v>0</v>
      </c>
      <c r="I6" s="203">
        <v>0</v>
      </c>
      <c r="J6" s="201">
        <v>0</v>
      </c>
      <c r="K6" s="201">
        <f t="shared" ref="K6:K25" si="0">J6/D6*100</f>
        <v>0</v>
      </c>
      <c r="L6" s="757">
        <v>1</v>
      </c>
    </row>
    <row r="7" spans="1:12">
      <c r="A7" s="780">
        <v>3</v>
      </c>
      <c r="B7" s="780" t="s">
        <v>46</v>
      </c>
      <c r="C7" s="134">
        <v>15</v>
      </c>
      <c r="D7" s="201">
        <v>4.8</v>
      </c>
      <c r="E7" s="203">
        <v>0</v>
      </c>
      <c r="F7" s="203">
        <v>0</v>
      </c>
      <c r="G7" s="203">
        <v>0</v>
      </c>
      <c r="H7" s="203">
        <f t="shared" ref="H7:H13" si="1">E7-F7</f>
        <v>0</v>
      </c>
      <c r="I7" s="203">
        <v>0</v>
      </c>
      <c r="J7" s="201">
        <v>0</v>
      </c>
      <c r="K7" s="201">
        <f t="shared" si="0"/>
        <v>0</v>
      </c>
      <c r="L7" s="757">
        <v>0</v>
      </c>
    </row>
    <row r="8" spans="1:12">
      <c r="A8" s="780">
        <v>4</v>
      </c>
      <c r="B8" s="780" t="s">
        <v>32</v>
      </c>
      <c r="C8" s="134">
        <v>714</v>
      </c>
      <c r="D8" s="201">
        <v>517.94000000000005</v>
      </c>
      <c r="E8" s="201">
        <v>142</v>
      </c>
      <c r="F8" s="201">
        <v>50.3</v>
      </c>
      <c r="G8" s="201">
        <f>F8/E8%</f>
        <v>35.422535211267608</v>
      </c>
      <c r="H8" s="201">
        <f>E8-F8</f>
        <v>91.7</v>
      </c>
      <c r="I8" s="201">
        <f>H8/E8%</f>
        <v>64.577464788732399</v>
      </c>
      <c r="J8" s="201">
        <v>2.94</v>
      </c>
      <c r="K8" s="201">
        <f t="shared" si="0"/>
        <v>0.5676333166003783</v>
      </c>
      <c r="L8" s="757">
        <v>7.87</v>
      </c>
    </row>
    <row r="9" spans="1:12">
      <c r="A9" s="780">
        <v>5</v>
      </c>
      <c r="B9" s="780" t="s">
        <v>83</v>
      </c>
      <c r="C9" s="134">
        <v>0</v>
      </c>
      <c r="D9" s="201">
        <v>1E-4</v>
      </c>
      <c r="E9" s="201">
        <v>0</v>
      </c>
      <c r="F9" s="201">
        <v>0</v>
      </c>
      <c r="G9" s="201">
        <v>0</v>
      </c>
      <c r="H9" s="201">
        <f t="shared" si="1"/>
        <v>0</v>
      </c>
      <c r="I9" s="201">
        <v>0</v>
      </c>
      <c r="J9" s="201">
        <v>0</v>
      </c>
      <c r="K9" s="201">
        <f t="shared" si="0"/>
        <v>0</v>
      </c>
      <c r="L9" s="757">
        <v>0</v>
      </c>
    </row>
    <row r="10" spans="1:12">
      <c r="A10" s="780">
        <v>6</v>
      </c>
      <c r="B10" s="780" t="s">
        <v>85</v>
      </c>
      <c r="C10" s="134">
        <v>16</v>
      </c>
      <c r="D10" s="201">
        <v>34.35</v>
      </c>
      <c r="E10" s="201">
        <v>20.7</v>
      </c>
      <c r="F10" s="201">
        <v>5.2</v>
      </c>
      <c r="G10" s="201">
        <f>F10/E10%</f>
        <v>25.120772946859905</v>
      </c>
      <c r="H10" s="201">
        <f>E10-F10</f>
        <v>15.5</v>
      </c>
      <c r="I10" s="201">
        <f>H10/E10%</f>
        <v>74.879227053140099</v>
      </c>
      <c r="J10" s="201">
        <v>12</v>
      </c>
      <c r="K10" s="201">
        <f t="shared" si="0"/>
        <v>34.934497816593883</v>
      </c>
      <c r="L10" s="757">
        <v>44.6</v>
      </c>
    </row>
    <row r="11" spans="1:12">
      <c r="A11" s="208">
        <v>7</v>
      </c>
      <c r="B11" s="208" t="s">
        <v>17</v>
      </c>
      <c r="C11" s="141">
        <v>431</v>
      </c>
      <c r="D11" s="328">
        <v>390.56</v>
      </c>
      <c r="E11" s="328">
        <v>175.5</v>
      </c>
      <c r="F11" s="328">
        <v>23.25</v>
      </c>
      <c r="G11" s="328">
        <f>F11/E11%</f>
        <v>13.247863247863249</v>
      </c>
      <c r="H11" s="328">
        <f t="shared" si="1"/>
        <v>152.25</v>
      </c>
      <c r="I11" s="328">
        <f>H11/E11%</f>
        <v>86.752136752136764</v>
      </c>
      <c r="J11" s="328">
        <v>40.200000000000003</v>
      </c>
      <c r="K11" s="201">
        <f t="shared" si="0"/>
        <v>10.29291274068005</v>
      </c>
      <c r="L11" s="757">
        <v>8</v>
      </c>
    </row>
    <row r="12" spans="1:12">
      <c r="A12" s="200">
        <v>8</v>
      </c>
      <c r="B12" s="200" t="s">
        <v>26</v>
      </c>
      <c r="C12" s="134">
        <v>1</v>
      </c>
      <c r="D12" s="201">
        <v>0.06</v>
      </c>
      <c r="E12" s="201">
        <v>0</v>
      </c>
      <c r="F12" s="201">
        <v>0</v>
      </c>
      <c r="G12" s="201">
        <v>0</v>
      </c>
      <c r="H12" s="201">
        <f t="shared" si="1"/>
        <v>0</v>
      </c>
      <c r="I12" s="201">
        <v>0</v>
      </c>
      <c r="J12" s="201">
        <v>0</v>
      </c>
      <c r="K12" s="201">
        <f t="shared" si="0"/>
        <v>0</v>
      </c>
      <c r="L12" s="757">
        <v>0</v>
      </c>
    </row>
    <row r="13" spans="1:12">
      <c r="A13" s="208">
        <v>9</v>
      </c>
      <c r="B13" s="208" t="s">
        <v>11</v>
      </c>
      <c r="C13" s="141">
        <v>0</v>
      </c>
      <c r="D13" s="328">
        <v>0</v>
      </c>
      <c r="E13" s="328">
        <v>0</v>
      </c>
      <c r="F13" s="328">
        <v>0</v>
      </c>
      <c r="G13" s="328">
        <v>0</v>
      </c>
      <c r="H13" s="328">
        <f t="shared" si="1"/>
        <v>0</v>
      </c>
      <c r="I13" s="328">
        <v>0</v>
      </c>
      <c r="J13" s="328">
        <v>0</v>
      </c>
      <c r="K13" s="201">
        <v>0</v>
      </c>
      <c r="L13" s="757">
        <v>20.43</v>
      </c>
    </row>
    <row r="14" spans="1:12">
      <c r="A14" s="208">
        <v>10</v>
      </c>
      <c r="B14" s="208" t="s">
        <v>90</v>
      </c>
      <c r="C14" s="141">
        <v>89</v>
      </c>
      <c r="D14" s="328">
        <v>65.650000000000006</v>
      </c>
      <c r="E14" s="328">
        <v>12</v>
      </c>
      <c r="F14" s="328">
        <v>0</v>
      </c>
      <c r="G14" s="328">
        <v>0</v>
      </c>
      <c r="H14" s="328">
        <f>E14-F14</f>
        <v>12</v>
      </c>
      <c r="I14" s="328">
        <v>0</v>
      </c>
      <c r="J14" s="328">
        <v>12</v>
      </c>
      <c r="K14" s="201">
        <f t="shared" si="0"/>
        <v>18.278750952018278</v>
      </c>
      <c r="L14" s="757">
        <v>0</v>
      </c>
    </row>
    <row r="15" spans="1:12">
      <c r="A15" s="200">
        <v>11</v>
      </c>
      <c r="B15" s="200" t="s">
        <v>92</v>
      </c>
      <c r="C15" s="134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f t="shared" ref="H15:H25" si="2">E15-F15</f>
        <v>0</v>
      </c>
      <c r="I15" s="201">
        <v>0</v>
      </c>
      <c r="J15" s="201">
        <v>0</v>
      </c>
      <c r="K15" s="201">
        <v>0</v>
      </c>
      <c r="L15" s="757">
        <v>66.59</v>
      </c>
    </row>
    <row r="16" spans="1:12">
      <c r="A16" s="780">
        <v>12</v>
      </c>
      <c r="B16" s="780" t="s">
        <v>51</v>
      </c>
      <c r="C16" s="134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f t="shared" si="2"/>
        <v>0</v>
      </c>
      <c r="I16" s="201">
        <v>0</v>
      </c>
      <c r="J16" s="201">
        <v>0</v>
      </c>
      <c r="K16" s="201">
        <v>0</v>
      </c>
      <c r="L16" s="757">
        <v>0</v>
      </c>
    </row>
    <row r="17" spans="1:12">
      <c r="A17" s="780">
        <v>13</v>
      </c>
      <c r="B17" s="780" t="s">
        <v>52</v>
      </c>
      <c r="C17" s="134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f t="shared" si="2"/>
        <v>0</v>
      </c>
      <c r="I17" s="201">
        <v>0</v>
      </c>
      <c r="J17" s="201">
        <v>0</v>
      </c>
      <c r="K17" s="201">
        <v>0</v>
      </c>
      <c r="L17" s="757">
        <v>0</v>
      </c>
    </row>
    <row r="18" spans="1:12">
      <c r="A18" s="780">
        <v>14</v>
      </c>
      <c r="B18" s="780" t="s">
        <v>28</v>
      </c>
      <c r="C18" s="134">
        <v>781</v>
      </c>
      <c r="D18" s="201">
        <v>1338.21</v>
      </c>
      <c r="E18" s="201">
        <v>280.3</v>
      </c>
      <c r="F18" s="201">
        <v>53.6</v>
      </c>
      <c r="G18" s="201">
        <f t="shared" ref="G18:G24" si="3">F18/E18%</f>
        <v>19.122368890474494</v>
      </c>
      <c r="H18" s="201">
        <f>E18-F18</f>
        <v>226.70000000000002</v>
      </c>
      <c r="I18" s="201">
        <f t="shared" ref="I18:I24" si="4">H18/E18%</f>
        <v>80.87763110952551</v>
      </c>
      <c r="J18" s="201">
        <v>280.3</v>
      </c>
      <c r="K18" s="201">
        <f t="shared" si="0"/>
        <v>20.94589040584064</v>
      </c>
      <c r="L18" s="757">
        <v>3.2</v>
      </c>
    </row>
    <row r="19" spans="1:12">
      <c r="A19" s="200">
        <v>15</v>
      </c>
      <c r="B19" s="200" t="s">
        <v>10</v>
      </c>
      <c r="C19" s="134">
        <v>7910</v>
      </c>
      <c r="D19" s="328">
        <v>3591.59</v>
      </c>
      <c r="E19" s="201">
        <v>1056</v>
      </c>
      <c r="F19" s="201">
        <v>403.5</v>
      </c>
      <c r="G19" s="201">
        <f t="shared" si="3"/>
        <v>38.210227272727273</v>
      </c>
      <c r="H19" s="201">
        <f t="shared" si="2"/>
        <v>652.5</v>
      </c>
      <c r="I19" s="201">
        <f t="shared" si="4"/>
        <v>61.789772727272727</v>
      </c>
      <c r="J19" s="201">
        <v>387.3</v>
      </c>
      <c r="K19" s="201">
        <f t="shared" si="0"/>
        <v>10.783524845541946</v>
      </c>
      <c r="L19" s="757">
        <v>571.27</v>
      </c>
    </row>
    <row r="20" spans="1:12">
      <c r="A20" s="780">
        <v>16</v>
      </c>
      <c r="B20" s="780" t="s">
        <v>98</v>
      </c>
      <c r="C20" s="134">
        <v>226</v>
      </c>
      <c r="D20" s="201">
        <v>170</v>
      </c>
      <c r="E20" s="201">
        <v>3.06</v>
      </c>
      <c r="F20" s="201">
        <v>1.3</v>
      </c>
      <c r="G20" s="201">
        <f t="shared" si="3"/>
        <v>42.483660130718953</v>
      </c>
      <c r="H20" s="201">
        <f t="shared" si="2"/>
        <v>1.76</v>
      </c>
      <c r="I20" s="201">
        <f t="shared" si="4"/>
        <v>57.51633986928104</v>
      </c>
      <c r="J20" s="201">
        <v>3.06</v>
      </c>
      <c r="K20" s="201">
        <f t="shared" si="0"/>
        <v>1.7999999999999998</v>
      </c>
      <c r="L20" s="757">
        <v>1.5</v>
      </c>
    </row>
    <row r="21" spans="1:12">
      <c r="A21" s="780">
        <v>17</v>
      </c>
      <c r="B21" s="780" t="s">
        <v>35</v>
      </c>
      <c r="C21" s="134">
        <v>158</v>
      </c>
      <c r="D21" s="201">
        <v>109.66</v>
      </c>
      <c r="E21" s="201">
        <v>85.14</v>
      </c>
      <c r="F21" s="201">
        <v>2.12</v>
      </c>
      <c r="G21" s="201">
        <f t="shared" si="3"/>
        <v>2.4900164435048158</v>
      </c>
      <c r="H21" s="201">
        <f t="shared" si="2"/>
        <v>83.02</v>
      </c>
      <c r="I21" s="201">
        <f t="shared" si="4"/>
        <v>97.509983556495172</v>
      </c>
      <c r="J21" s="201">
        <v>10.3</v>
      </c>
      <c r="K21" s="201">
        <f t="shared" si="0"/>
        <v>9.392668247309869</v>
      </c>
      <c r="L21" s="757">
        <v>2.9</v>
      </c>
    </row>
    <row r="22" spans="1:12">
      <c r="A22" s="208">
        <v>18</v>
      </c>
      <c r="B22" s="208" t="s">
        <v>54</v>
      </c>
      <c r="C22" s="141">
        <v>192</v>
      </c>
      <c r="D22" s="328">
        <v>257.04000000000002</v>
      </c>
      <c r="E22" s="328">
        <v>105.6</v>
      </c>
      <c r="F22" s="328">
        <v>15</v>
      </c>
      <c r="G22" s="328">
        <f t="shared" si="3"/>
        <v>14.204545454545453</v>
      </c>
      <c r="H22" s="328">
        <f t="shared" si="2"/>
        <v>90.6</v>
      </c>
      <c r="I22" s="328">
        <f t="shared" si="4"/>
        <v>85.795454545454533</v>
      </c>
      <c r="J22" s="328">
        <v>105.6</v>
      </c>
      <c r="K22" s="201">
        <f t="shared" si="0"/>
        <v>41.083099906629315</v>
      </c>
      <c r="L22" s="757">
        <v>49</v>
      </c>
    </row>
    <row r="23" spans="1:12">
      <c r="A23" s="1148">
        <v>19</v>
      </c>
      <c r="B23" s="1148" t="s">
        <v>102</v>
      </c>
      <c r="C23" s="1149">
        <v>84</v>
      </c>
      <c r="D23" s="1150">
        <v>68.260000000000005</v>
      </c>
      <c r="E23" s="1150">
        <v>1.54</v>
      </c>
      <c r="F23" s="1150">
        <v>1</v>
      </c>
      <c r="G23" s="1150">
        <f t="shared" si="3"/>
        <v>64.935064935064929</v>
      </c>
      <c r="H23" s="1150">
        <f t="shared" si="2"/>
        <v>0.54</v>
      </c>
      <c r="I23" s="1150">
        <f t="shared" si="4"/>
        <v>35.064935064935064</v>
      </c>
      <c r="J23" s="1150">
        <v>1.54</v>
      </c>
      <c r="K23" s="201">
        <f t="shared" si="0"/>
        <v>2.2560796952827422</v>
      </c>
      <c r="L23" s="757">
        <v>11.45</v>
      </c>
    </row>
    <row r="24" spans="1:12">
      <c r="A24" s="780">
        <v>20</v>
      </c>
      <c r="B24" s="780" t="s">
        <v>104</v>
      </c>
      <c r="C24" s="134">
        <v>21</v>
      </c>
      <c r="D24" s="201">
        <v>223</v>
      </c>
      <c r="E24" s="201">
        <v>12.6</v>
      </c>
      <c r="F24" s="201">
        <v>1.5</v>
      </c>
      <c r="G24" s="201">
        <f t="shared" si="3"/>
        <v>11.904761904761905</v>
      </c>
      <c r="H24" s="201">
        <f>E24-F24</f>
        <v>11.1</v>
      </c>
      <c r="I24" s="201">
        <f t="shared" si="4"/>
        <v>88.095238095238088</v>
      </c>
      <c r="J24" s="201">
        <v>12.6</v>
      </c>
      <c r="K24" s="201">
        <f t="shared" si="0"/>
        <v>5.6502242152466371</v>
      </c>
      <c r="L24" s="757">
        <v>0</v>
      </c>
    </row>
    <row r="25" spans="1:12">
      <c r="A25" s="780">
        <v>21</v>
      </c>
      <c r="B25" s="780" t="s">
        <v>106</v>
      </c>
      <c r="C25" s="1151">
        <v>0</v>
      </c>
      <c r="D25" s="1152">
        <v>1E-4</v>
      </c>
      <c r="E25" s="1152">
        <v>0</v>
      </c>
      <c r="F25" s="1152">
        <v>0</v>
      </c>
      <c r="G25" s="201">
        <v>0</v>
      </c>
      <c r="H25" s="1152">
        <f t="shared" si="2"/>
        <v>0</v>
      </c>
      <c r="I25" s="201">
        <v>0</v>
      </c>
      <c r="J25" s="1152">
        <v>0</v>
      </c>
      <c r="K25" s="201">
        <f t="shared" si="0"/>
        <v>0</v>
      </c>
      <c r="L25" s="1153">
        <v>0</v>
      </c>
    </row>
    <row r="26" spans="1:12" ht="30">
      <c r="A26" s="780">
        <v>22</v>
      </c>
      <c r="B26" s="780" t="s">
        <v>75</v>
      </c>
      <c r="C26" s="1151">
        <v>0</v>
      </c>
      <c r="D26" s="1152">
        <v>0</v>
      </c>
      <c r="E26" s="1152">
        <v>0</v>
      </c>
      <c r="F26" s="1152">
        <v>0</v>
      </c>
      <c r="G26" s="201">
        <v>0</v>
      </c>
      <c r="H26" s="1152">
        <v>0</v>
      </c>
      <c r="I26" s="201">
        <v>0</v>
      </c>
      <c r="J26" s="1152">
        <v>0</v>
      </c>
      <c r="K26" s="201">
        <v>0</v>
      </c>
      <c r="L26" s="1153">
        <v>0</v>
      </c>
    </row>
    <row r="27" spans="1:12" ht="30">
      <c r="A27" s="780">
        <v>23</v>
      </c>
      <c r="B27" s="780" t="s">
        <v>59</v>
      </c>
      <c r="C27" s="1151">
        <v>0</v>
      </c>
      <c r="D27" s="1152">
        <v>0</v>
      </c>
      <c r="E27" s="1152">
        <v>0</v>
      </c>
      <c r="F27" s="1152">
        <v>0</v>
      </c>
      <c r="G27" s="201">
        <v>0</v>
      </c>
      <c r="H27" s="1152">
        <v>0</v>
      </c>
      <c r="I27" s="201">
        <v>0</v>
      </c>
      <c r="J27" s="1152">
        <v>0</v>
      </c>
      <c r="K27" s="201">
        <v>0</v>
      </c>
      <c r="L27" s="1153">
        <v>0</v>
      </c>
    </row>
    <row r="28" spans="1:12">
      <c r="A28" s="1490" t="s">
        <v>205</v>
      </c>
      <c r="B28" s="1490"/>
      <c r="C28" s="148">
        <f>SUM(C5:C27)</f>
        <v>10647</v>
      </c>
      <c r="D28" s="840">
        <f>SUM(D5:D27)</f>
        <v>6775.6203000000005</v>
      </c>
      <c r="E28" s="840">
        <f>SUM(E5:E27)</f>
        <v>1894.4399999999998</v>
      </c>
      <c r="F28" s="840">
        <f>SUM(F5:F27)</f>
        <v>556.77</v>
      </c>
      <c r="G28" s="840">
        <f>F28/E28%</f>
        <v>29.389687717742447</v>
      </c>
      <c r="H28" s="840">
        <f>E28-F28</f>
        <v>1337.6699999999998</v>
      </c>
      <c r="I28" s="840">
        <f>H28/E28%</f>
        <v>70.610312282257553</v>
      </c>
      <c r="J28" s="840">
        <f>SUM(J5:J27)</f>
        <v>867.83999999999992</v>
      </c>
      <c r="K28" s="840">
        <f>J28/D28*100</f>
        <v>12.808273804835254</v>
      </c>
      <c r="L28" s="841">
        <f>SUM(L5:L27)</f>
        <v>788.81000000000006</v>
      </c>
    </row>
    <row r="29" spans="1:12">
      <c r="A29" s="780">
        <v>1</v>
      </c>
      <c r="B29" s="780" t="s">
        <v>16</v>
      </c>
      <c r="C29" s="134">
        <v>3211</v>
      </c>
      <c r="D29" s="201">
        <v>2405</v>
      </c>
      <c r="E29" s="201">
        <v>29.6</v>
      </c>
      <c r="F29" s="201">
        <v>2.2999999999999998</v>
      </c>
      <c r="G29" s="201">
        <f>F29/E29%</f>
        <v>7.7702702702702684</v>
      </c>
      <c r="H29" s="201">
        <f>E29-F29</f>
        <v>27.3</v>
      </c>
      <c r="I29" s="201">
        <f>H29/E29%</f>
        <v>92.229729729729726</v>
      </c>
      <c r="J29" s="201">
        <v>29.6</v>
      </c>
      <c r="K29" s="201">
        <f>J29/D29*100</f>
        <v>1.2307692307692308</v>
      </c>
      <c r="L29" s="757">
        <v>560.92999999999995</v>
      </c>
    </row>
    <row r="30" spans="1:12">
      <c r="A30" s="780">
        <v>1</v>
      </c>
      <c r="B30" s="780" t="s">
        <v>110</v>
      </c>
      <c r="C30" s="134">
        <v>64</v>
      </c>
      <c r="D30" s="201">
        <v>502.17</v>
      </c>
      <c r="E30" s="201">
        <v>256.3</v>
      </c>
      <c r="F30" s="201">
        <v>10.02</v>
      </c>
      <c r="G30" s="201">
        <f>F30/E30%</f>
        <v>3.9094810768630506</v>
      </c>
      <c r="H30" s="201">
        <f>E30-F30</f>
        <v>246.28</v>
      </c>
      <c r="I30" s="201">
        <f>H30/E30%</f>
        <v>96.090518923136941</v>
      </c>
      <c r="J30" s="201">
        <v>256.3</v>
      </c>
      <c r="K30" s="201">
        <f>J30/D30*100</f>
        <v>51.038492940637639</v>
      </c>
      <c r="L30" s="757">
        <v>15.4</v>
      </c>
    </row>
    <row r="31" spans="1:12">
      <c r="A31" s="1491" t="s">
        <v>188</v>
      </c>
      <c r="B31" s="1491"/>
      <c r="C31" s="148">
        <f>SUM(C28:C30)</f>
        <v>13922</v>
      </c>
      <c r="D31" s="840">
        <f>SUM(D28:D30)</f>
        <v>9682.7903000000006</v>
      </c>
      <c r="E31" s="840">
        <f>SUM(E28:E30)</f>
        <v>2180.3399999999997</v>
      </c>
      <c r="F31" s="840">
        <f>SUM(F28:F30)</f>
        <v>569.08999999999992</v>
      </c>
      <c r="G31" s="840">
        <f>F31/E31%</f>
        <v>26.100975077281525</v>
      </c>
      <c r="H31" s="840">
        <f>SUM(H28:H30)</f>
        <v>1611.2499999999998</v>
      </c>
      <c r="I31" s="840">
        <f>H31/E31%</f>
        <v>73.899024922718482</v>
      </c>
      <c r="J31" s="840">
        <f>SUM(J28:J30)</f>
        <v>1153.74</v>
      </c>
      <c r="K31" s="840">
        <f>J31/D31*100</f>
        <v>11.915366999118012</v>
      </c>
      <c r="L31" s="841">
        <f>SUM(L28:L30)</f>
        <v>1365.14</v>
      </c>
    </row>
    <row r="32" spans="1:12">
      <c r="A32" s="206"/>
      <c r="B32" s="1487" t="s">
        <v>136</v>
      </c>
      <c r="C32" s="1487"/>
      <c r="D32" s="1487"/>
      <c r="E32" s="1487"/>
      <c r="F32" s="1487"/>
      <c r="G32" s="1487"/>
      <c r="H32" s="1487"/>
      <c r="I32" s="1487"/>
      <c r="J32" s="1487"/>
      <c r="K32" s="1487"/>
      <c r="L32" s="1487"/>
    </row>
    <row r="33" spans="1:12">
      <c r="A33" s="1147"/>
      <c r="B33" s="1147" t="s">
        <v>13</v>
      </c>
      <c r="C33" s="1147">
        <v>13968</v>
      </c>
      <c r="D33" s="1154">
        <v>8598.66</v>
      </c>
      <c r="E33" s="1154">
        <v>2088.13</v>
      </c>
      <c r="F33" s="1154">
        <v>563.42999999999995</v>
      </c>
      <c r="G33" s="840">
        <v>26.98</v>
      </c>
      <c r="H33" s="840">
        <v>1524.7</v>
      </c>
      <c r="I33" s="840">
        <v>73.62</v>
      </c>
      <c r="J33" s="840">
        <v>734.12</v>
      </c>
      <c r="K33" s="840">
        <v>8.5399999999999991</v>
      </c>
      <c r="L33" s="1155">
        <v>1283.26</v>
      </c>
    </row>
  </sheetData>
  <mergeCells count="6">
    <mergeCell ref="B32:L32"/>
    <mergeCell ref="A1:L1"/>
    <mergeCell ref="A2:L2"/>
    <mergeCell ref="A3:L3"/>
    <mergeCell ref="A28:B28"/>
    <mergeCell ref="A31:B31"/>
  </mergeCells>
  <printOptions gridLines="1"/>
  <pageMargins left="0.7" right="0.7" top="0.75" bottom="0.75" header="0.3" footer="0.3"/>
  <pageSetup paperSize="9" scale="9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activeCell="S7" sqref="S7"/>
    </sheetView>
  </sheetViews>
  <sheetFormatPr defaultRowHeight="15"/>
  <sheetData>
    <row r="1" spans="1:17">
      <c r="A1" s="1494">
        <v>24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</row>
    <row r="2" spans="1:17">
      <c r="A2" s="1489" t="s">
        <v>608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89"/>
    </row>
    <row r="3" spans="1:17">
      <c r="A3" s="1495" t="s">
        <v>573</v>
      </c>
      <c r="B3" s="1495"/>
      <c r="C3" s="1495"/>
      <c r="D3" s="1495"/>
      <c r="E3" s="1495"/>
      <c r="F3" s="1495"/>
      <c r="G3" s="1495"/>
      <c r="H3" s="1495"/>
      <c r="I3" s="1495"/>
      <c r="J3" s="1495"/>
      <c r="K3" s="1495"/>
      <c r="L3" s="1495"/>
      <c r="M3" s="1495"/>
      <c r="N3" s="1495"/>
      <c r="O3" s="1495"/>
      <c r="P3" s="1495"/>
      <c r="Q3" s="1495"/>
    </row>
    <row r="4" spans="1:17" ht="25.5">
      <c r="A4" s="205" t="s">
        <v>130</v>
      </c>
      <c r="B4" s="205" t="s">
        <v>131</v>
      </c>
      <c r="C4" s="205" t="s">
        <v>223</v>
      </c>
      <c r="D4" s="205" t="s">
        <v>224</v>
      </c>
      <c r="E4" s="205" t="s">
        <v>225</v>
      </c>
      <c r="F4" s="205" t="s">
        <v>226</v>
      </c>
      <c r="G4" s="205" t="s">
        <v>227</v>
      </c>
      <c r="H4" s="205" t="s">
        <v>228</v>
      </c>
      <c r="I4" s="205" t="s">
        <v>229</v>
      </c>
      <c r="J4" s="205" t="s">
        <v>230</v>
      </c>
      <c r="K4" s="205" t="s">
        <v>231</v>
      </c>
      <c r="L4" s="205" t="s">
        <v>232</v>
      </c>
      <c r="M4" s="205" t="s">
        <v>233</v>
      </c>
      <c r="N4" s="205" t="s">
        <v>234</v>
      </c>
      <c r="O4" s="205" t="s">
        <v>235</v>
      </c>
      <c r="P4" s="205" t="s">
        <v>236</v>
      </c>
      <c r="Q4" s="205" t="s">
        <v>13</v>
      </c>
    </row>
    <row r="5" spans="1:17">
      <c r="A5" s="200">
        <v>1</v>
      </c>
      <c r="B5" s="206" t="s">
        <v>78</v>
      </c>
      <c r="C5" s="201">
        <f>[1]CROP!D5</f>
        <v>4.5</v>
      </c>
      <c r="D5" s="201">
        <v>0</v>
      </c>
      <c r="E5" s="201">
        <v>0</v>
      </c>
      <c r="F5" s="201">
        <v>0</v>
      </c>
      <c r="G5" s="201">
        <v>0</v>
      </c>
      <c r="H5" s="201">
        <v>0</v>
      </c>
      <c r="I5" s="201">
        <v>0</v>
      </c>
      <c r="J5" s="201">
        <v>0</v>
      </c>
      <c r="K5" s="201">
        <v>0</v>
      </c>
      <c r="L5" s="201">
        <v>0</v>
      </c>
      <c r="M5" s="201">
        <v>0</v>
      </c>
      <c r="N5" s="201">
        <v>0</v>
      </c>
      <c r="O5" s="201">
        <v>0</v>
      </c>
      <c r="P5" s="201">
        <v>125.89</v>
      </c>
      <c r="Q5" s="1156">
        <f>C5+D5+E5+F5+G5+H5+I5+J5+K5+L5+M5+N5+O5+P5</f>
        <v>130.38999999999999</v>
      </c>
    </row>
    <row r="6" spans="1:17">
      <c r="A6" s="200">
        <v>2</v>
      </c>
      <c r="B6" s="206" t="s">
        <v>27</v>
      </c>
      <c r="C6" s="201">
        <f>[1]CROP!D6</f>
        <v>1E-4</v>
      </c>
      <c r="D6" s="201">
        <v>0</v>
      </c>
      <c r="E6" s="201">
        <v>0</v>
      </c>
      <c r="F6" s="201">
        <v>0</v>
      </c>
      <c r="G6" s="201">
        <v>0</v>
      </c>
      <c r="H6" s="201">
        <v>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1156">
        <f t="shared" ref="Q6:Q33" si="0">C6+D6+E6+F6+G6+H6+I6+J6+K6+L6+M6+N6+O6+P6</f>
        <v>1E-4</v>
      </c>
    </row>
    <row r="7" spans="1:17">
      <c r="A7" s="200">
        <v>3</v>
      </c>
      <c r="B7" s="1157" t="s">
        <v>46</v>
      </c>
      <c r="C7" s="201">
        <f>[1]CROP!D7</f>
        <v>4.8</v>
      </c>
      <c r="D7" s="201">
        <v>0</v>
      </c>
      <c r="E7" s="201">
        <v>0</v>
      </c>
      <c r="F7" s="201">
        <v>0</v>
      </c>
      <c r="G7" s="201">
        <v>0</v>
      </c>
      <c r="H7" s="201">
        <v>1.5</v>
      </c>
      <c r="I7" s="201">
        <v>11.15</v>
      </c>
      <c r="J7" s="201">
        <v>12.4</v>
      </c>
      <c r="K7" s="201">
        <v>0</v>
      </c>
      <c r="L7" s="201">
        <v>1.45</v>
      </c>
      <c r="M7" s="201">
        <v>0</v>
      </c>
      <c r="N7" s="201">
        <v>0</v>
      </c>
      <c r="O7" s="201">
        <v>0</v>
      </c>
      <c r="P7" s="201">
        <v>33.58</v>
      </c>
      <c r="Q7" s="1156">
        <f t="shared" si="0"/>
        <v>64.88</v>
      </c>
    </row>
    <row r="8" spans="1:17">
      <c r="A8" s="204">
        <v>4</v>
      </c>
      <c r="B8" s="207" t="s">
        <v>32</v>
      </c>
      <c r="C8" s="328">
        <f>[1]CROP!D8</f>
        <v>517.94000000000005</v>
      </c>
      <c r="D8" s="328">
        <v>0</v>
      </c>
      <c r="E8" s="328">
        <v>0</v>
      </c>
      <c r="F8" s="328">
        <v>0</v>
      </c>
      <c r="G8" s="328">
        <v>0</v>
      </c>
      <c r="H8" s="328">
        <v>0</v>
      </c>
      <c r="I8" s="328">
        <v>0</v>
      </c>
      <c r="J8" s="328">
        <v>31.38</v>
      </c>
      <c r="K8" s="328">
        <v>0</v>
      </c>
      <c r="L8" s="328">
        <v>1.65</v>
      </c>
      <c r="M8" s="328">
        <v>0</v>
      </c>
      <c r="N8" s="328">
        <v>0</v>
      </c>
      <c r="O8" s="328">
        <v>0</v>
      </c>
      <c r="P8" s="328">
        <v>200.42</v>
      </c>
      <c r="Q8" s="1156">
        <f t="shared" si="0"/>
        <v>751.39</v>
      </c>
    </row>
    <row r="9" spans="1:17">
      <c r="A9" s="780">
        <v>5</v>
      </c>
      <c r="B9" s="1157" t="s">
        <v>83</v>
      </c>
      <c r="C9" s="201">
        <f>[1]CROP!D9</f>
        <v>1E-4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1">
        <v>0</v>
      </c>
      <c r="P9" s="201">
        <v>1.91</v>
      </c>
      <c r="Q9" s="1156">
        <f t="shared" si="0"/>
        <v>1.9100999999999999</v>
      </c>
    </row>
    <row r="10" spans="1:17">
      <c r="A10" s="200">
        <v>6</v>
      </c>
      <c r="B10" s="206" t="s">
        <v>85</v>
      </c>
      <c r="C10" s="201">
        <f>[1]CROP!D10</f>
        <v>34.35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28</v>
      </c>
      <c r="K10" s="201">
        <v>0</v>
      </c>
      <c r="L10" s="201">
        <v>9.6999999999999993</v>
      </c>
      <c r="M10" s="201">
        <v>0</v>
      </c>
      <c r="N10" s="201">
        <v>0</v>
      </c>
      <c r="O10" s="201">
        <v>0</v>
      </c>
      <c r="P10" s="201">
        <v>670.28</v>
      </c>
      <c r="Q10" s="1156">
        <f t="shared" si="0"/>
        <v>742.32999999999993</v>
      </c>
    </row>
    <row r="11" spans="1:17">
      <c r="A11" s="204">
        <v>7</v>
      </c>
      <c r="B11" s="209" t="s">
        <v>17</v>
      </c>
      <c r="C11" s="328">
        <f>[1]CROP!D11</f>
        <v>390.56</v>
      </c>
      <c r="D11" s="328">
        <v>23</v>
      </c>
      <c r="E11" s="328">
        <v>0</v>
      </c>
      <c r="F11" s="328">
        <v>0</v>
      </c>
      <c r="G11" s="328">
        <v>0</v>
      </c>
      <c r="H11" s="328">
        <v>10</v>
      </c>
      <c r="I11" s="328">
        <v>28.2</v>
      </c>
      <c r="J11" s="328">
        <v>202</v>
      </c>
      <c r="K11" s="328">
        <v>0</v>
      </c>
      <c r="L11" s="328">
        <v>47.25</v>
      </c>
      <c r="M11" s="328">
        <v>0</v>
      </c>
      <c r="N11" s="328">
        <v>0</v>
      </c>
      <c r="O11" s="328">
        <v>0</v>
      </c>
      <c r="P11" s="328">
        <v>100.65</v>
      </c>
      <c r="Q11" s="1156">
        <f t="shared" si="0"/>
        <v>801.66</v>
      </c>
    </row>
    <row r="12" spans="1:17">
      <c r="A12" s="200">
        <v>8</v>
      </c>
      <c r="B12" s="206" t="s">
        <v>26</v>
      </c>
      <c r="C12" s="201">
        <f>[1]CROP!D12</f>
        <v>0.06</v>
      </c>
      <c r="D12" s="201">
        <v>26.74</v>
      </c>
      <c r="E12" s="201">
        <v>0</v>
      </c>
      <c r="F12" s="201">
        <v>0</v>
      </c>
      <c r="G12" s="201">
        <v>0</v>
      </c>
      <c r="H12" s="201">
        <v>0</v>
      </c>
      <c r="I12" s="201">
        <v>0.47</v>
      </c>
      <c r="J12" s="201">
        <v>0</v>
      </c>
      <c r="K12" s="201">
        <v>0</v>
      </c>
      <c r="L12" s="201">
        <v>0</v>
      </c>
      <c r="M12" s="201">
        <v>0</v>
      </c>
      <c r="N12" s="201">
        <v>0</v>
      </c>
      <c r="O12" s="201">
        <v>0</v>
      </c>
      <c r="P12" s="201">
        <v>256.24</v>
      </c>
      <c r="Q12" s="1156">
        <f t="shared" si="0"/>
        <v>283.51</v>
      </c>
    </row>
    <row r="13" spans="1:17">
      <c r="A13" s="208">
        <v>9</v>
      </c>
      <c r="B13" s="209" t="s">
        <v>11</v>
      </c>
      <c r="C13" s="328">
        <f>[1]CROP!D13</f>
        <v>0</v>
      </c>
      <c r="D13" s="328">
        <v>0</v>
      </c>
      <c r="E13" s="328">
        <v>0</v>
      </c>
      <c r="F13" s="328">
        <v>0</v>
      </c>
      <c r="G13" s="328">
        <v>0</v>
      </c>
      <c r="H13" s="328">
        <v>0</v>
      </c>
      <c r="I13" s="328">
        <v>0</v>
      </c>
      <c r="J13" s="328">
        <v>0</v>
      </c>
      <c r="K13" s="328">
        <v>0</v>
      </c>
      <c r="L13" s="328">
        <v>0</v>
      </c>
      <c r="M13" s="328">
        <v>0</v>
      </c>
      <c r="N13" s="328">
        <v>0</v>
      </c>
      <c r="O13" s="328">
        <v>0</v>
      </c>
      <c r="P13" s="328">
        <v>25.5</v>
      </c>
      <c r="Q13" s="1156">
        <f t="shared" si="0"/>
        <v>25.5</v>
      </c>
    </row>
    <row r="14" spans="1:17">
      <c r="A14" s="208">
        <v>10</v>
      </c>
      <c r="B14" s="209" t="s">
        <v>90</v>
      </c>
      <c r="C14" s="328">
        <f>[1]CROP!D14</f>
        <v>65.650000000000006</v>
      </c>
      <c r="D14" s="328">
        <v>0</v>
      </c>
      <c r="E14" s="328">
        <v>0</v>
      </c>
      <c r="F14" s="328">
        <v>0</v>
      </c>
      <c r="G14" s="328">
        <v>0</v>
      </c>
      <c r="H14" s="328">
        <v>0</v>
      </c>
      <c r="I14" s="328">
        <v>0</v>
      </c>
      <c r="J14" s="328">
        <v>0</v>
      </c>
      <c r="K14" s="328">
        <v>0</v>
      </c>
      <c r="L14" s="328">
        <v>0</v>
      </c>
      <c r="M14" s="328">
        <v>11.86</v>
      </c>
      <c r="N14" s="328">
        <v>0</v>
      </c>
      <c r="O14" s="328">
        <v>0</v>
      </c>
      <c r="P14" s="328">
        <v>3.87</v>
      </c>
      <c r="Q14" s="1156">
        <f t="shared" si="0"/>
        <v>81.38000000000001</v>
      </c>
    </row>
    <row r="15" spans="1:17">
      <c r="A15" s="204">
        <v>11</v>
      </c>
      <c r="B15" s="207" t="s">
        <v>92</v>
      </c>
      <c r="C15" s="328">
        <v>0</v>
      </c>
      <c r="D15" s="328">
        <v>0</v>
      </c>
      <c r="E15" s="328">
        <v>0</v>
      </c>
      <c r="F15" s="328">
        <v>0</v>
      </c>
      <c r="G15" s="328">
        <v>0</v>
      </c>
      <c r="H15" s="328">
        <v>0</v>
      </c>
      <c r="I15" s="328">
        <v>0</v>
      </c>
      <c r="J15" s="328">
        <v>0</v>
      </c>
      <c r="K15" s="328">
        <v>0</v>
      </c>
      <c r="L15" s="328">
        <v>0</v>
      </c>
      <c r="M15" s="328">
        <v>0</v>
      </c>
      <c r="N15" s="328">
        <v>0</v>
      </c>
      <c r="O15" s="328">
        <v>0</v>
      </c>
      <c r="P15" s="328">
        <v>407.06</v>
      </c>
      <c r="Q15" s="1156">
        <f t="shared" si="0"/>
        <v>407.06</v>
      </c>
    </row>
    <row r="16" spans="1:17">
      <c r="A16" s="780">
        <v>12</v>
      </c>
      <c r="B16" s="1157" t="s">
        <v>51</v>
      </c>
      <c r="C16" s="201">
        <f>[1]CROP!D16</f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1156">
        <f t="shared" si="0"/>
        <v>0</v>
      </c>
    </row>
    <row r="17" spans="1:17">
      <c r="A17" s="200">
        <v>13</v>
      </c>
      <c r="B17" s="206" t="s">
        <v>52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0</v>
      </c>
      <c r="N17" s="201">
        <v>0</v>
      </c>
      <c r="O17" s="201">
        <v>0</v>
      </c>
      <c r="P17" s="201">
        <v>1.79</v>
      </c>
      <c r="Q17" s="1156">
        <f t="shared" si="0"/>
        <v>1.79</v>
      </c>
    </row>
    <row r="18" spans="1:17">
      <c r="A18" s="204">
        <v>14</v>
      </c>
      <c r="B18" s="207" t="s">
        <v>28</v>
      </c>
      <c r="C18" s="328">
        <f>[1]CROP!D18</f>
        <v>1338.21</v>
      </c>
      <c r="D18" s="328">
        <v>0</v>
      </c>
      <c r="E18" s="328">
        <v>0</v>
      </c>
      <c r="F18" s="328">
        <v>0</v>
      </c>
      <c r="G18" s="328">
        <v>0</v>
      </c>
      <c r="H18" s="328">
        <v>0</v>
      </c>
      <c r="I18" s="328">
        <v>0</v>
      </c>
      <c r="J18" s="328">
        <v>30.2</v>
      </c>
      <c r="K18" s="328">
        <v>0</v>
      </c>
      <c r="L18" s="328">
        <v>12.7</v>
      </c>
      <c r="M18" s="328">
        <v>0</v>
      </c>
      <c r="N18" s="328">
        <v>0</v>
      </c>
      <c r="O18" s="328">
        <v>0</v>
      </c>
      <c r="P18" s="328">
        <v>89.08</v>
      </c>
      <c r="Q18" s="1156">
        <f t="shared" si="0"/>
        <v>1470.19</v>
      </c>
    </row>
    <row r="19" spans="1:17">
      <c r="A19" s="1158">
        <v>15</v>
      </c>
      <c r="B19" s="1159" t="s">
        <v>10</v>
      </c>
      <c r="C19" s="328">
        <v>3591.59</v>
      </c>
      <c r="D19" s="662">
        <v>242</v>
      </c>
      <c r="E19" s="662">
        <v>1.55</v>
      </c>
      <c r="F19" s="662">
        <v>8.36</v>
      </c>
      <c r="G19" s="662">
        <v>178</v>
      </c>
      <c r="H19" s="662">
        <v>17</v>
      </c>
      <c r="I19" s="662">
        <v>3</v>
      </c>
      <c r="J19" s="662">
        <v>29.44</v>
      </c>
      <c r="K19" s="662">
        <v>14.05</v>
      </c>
      <c r="L19" s="662">
        <v>67.86</v>
      </c>
      <c r="M19" s="662">
        <v>22</v>
      </c>
      <c r="N19" s="662">
        <v>18</v>
      </c>
      <c r="O19" s="328">
        <v>0</v>
      </c>
      <c r="P19" s="662">
        <v>1046.75</v>
      </c>
      <c r="Q19" s="1156">
        <f t="shared" si="0"/>
        <v>5239.6000000000004</v>
      </c>
    </row>
    <row r="20" spans="1:17">
      <c r="A20" s="780">
        <v>16</v>
      </c>
      <c r="B20" s="1157" t="s">
        <v>98</v>
      </c>
      <c r="C20" s="201">
        <f>[1]CROP!D20</f>
        <v>170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2.5</v>
      </c>
      <c r="K20" s="201">
        <v>0</v>
      </c>
      <c r="L20" s="201">
        <v>22.18</v>
      </c>
      <c r="M20" s="201">
        <v>0</v>
      </c>
      <c r="N20" s="201">
        <v>0</v>
      </c>
      <c r="O20" s="201">
        <v>0</v>
      </c>
      <c r="P20" s="201">
        <v>0</v>
      </c>
      <c r="Q20" s="1156">
        <f t="shared" si="0"/>
        <v>194.68</v>
      </c>
    </row>
    <row r="21" spans="1:17">
      <c r="A21" s="200">
        <v>17</v>
      </c>
      <c r="B21" s="206" t="s">
        <v>35</v>
      </c>
      <c r="C21" s="201">
        <f>[1]CROP!D21</f>
        <v>109.66</v>
      </c>
      <c r="D21" s="201">
        <v>61.03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26.35</v>
      </c>
      <c r="K21" s="201">
        <v>0</v>
      </c>
      <c r="L21" s="201">
        <v>33.93</v>
      </c>
      <c r="M21" s="201">
        <v>0.56000000000000005</v>
      </c>
      <c r="N21" s="201">
        <v>0</v>
      </c>
      <c r="O21" s="201">
        <v>0</v>
      </c>
      <c r="P21" s="201">
        <v>698.18</v>
      </c>
      <c r="Q21" s="1156">
        <f t="shared" si="0"/>
        <v>929.70999999999992</v>
      </c>
    </row>
    <row r="22" spans="1:17">
      <c r="A22" s="208">
        <v>18</v>
      </c>
      <c r="B22" s="209" t="s">
        <v>54</v>
      </c>
      <c r="C22" s="328">
        <f>[1]CROP!D22</f>
        <v>257.04000000000002</v>
      </c>
      <c r="D22" s="328">
        <v>28</v>
      </c>
      <c r="E22" s="328">
        <v>0</v>
      </c>
      <c r="F22" s="328">
        <v>0</v>
      </c>
      <c r="G22" s="328">
        <v>0</v>
      </c>
      <c r="H22" s="328">
        <v>0</v>
      </c>
      <c r="I22" s="328">
        <v>128.82</v>
      </c>
      <c r="J22" s="328">
        <v>23</v>
      </c>
      <c r="K22" s="328">
        <v>0</v>
      </c>
      <c r="L22" s="328">
        <v>27</v>
      </c>
      <c r="M22" s="328">
        <v>0</v>
      </c>
      <c r="N22" s="328">
        <v>0</v>
      </c>
      <c r="O22" s="328">
        <v>189.72</v>
      </c>
      <c r="P22" s="328">
        <v>864.11</v>
      </c>
      <c r="Q22" s="330">
        <f t="shared" si="0"/>
        <v>1517.69</v>
      </c>
    </row>
    <row r="23" spans="1:17">
      <c r="A23" s="208">
        <v>19</v>
      </c>
      <c r="B23" s="209" t="s">
        <v>102</v>
      </c>
      <c r="C23" s="328">
        <f>[1]CROP!D23</f>
        <v>68.260000000000005</v>
      </c>
      <c r="D23" s="328">
        <v>0</v>
      </c>
      <c r="E23" s="328">
        <v>0</v>
      </c>
      <c r="F23" s="328">
        <v>0</v>
      </c>
      <c r="G23" s="328">
        <v>0</v>
      </c>
      <c r="H23" s="328">
        <v>0</v>
      </c>
      <c r="I23" s="328">
        <v>0</v>
      </c>
      <c r="J23" s="328">
        <v>3.48</v>
      </c>
      <c r="K23" s="328">
        <v>0</v>
      </c>
      <c r="L23" s="328">
        <v>10.26</v>
      </c>
      <c r="M23" s="328">
        <v>6.21</v>
      </c>
      <c r="N23" s="328">
        <v>0</v>
      </c>
      <c r="O23" s="328">
        <v>0</v>
      </c>
      <c r="P23" s="328">
        <v>29.01</v>
      </c>
      <c r="Q23" s="1156">
        <f>C23+D23+E23+F23+G23+H23+I23+J23+K23+L23+M23+N23+O23+P23</f>
        <v>117.22000000000001</v>
      </c>
    </row>
    <row r="24" spans="1:17">
      <c r="A24" s="200">
        <v>20</v>
      </c>
      <c r="B24" s="206" t="s">
        <v>104</v>
      </c>
      <c r="C24" s="201">
        <f>[1]CROP!D24</f>
        <v>223</v>
      </c>
      <c r="D24" s="201">
        <v>11.07</v>
      </c>
      <c r="E24" s="201">
        <v>3.52</v>
      </c>
      <c r="F24" s="201">
        <v>0</v>
      </c>
      <c r="G24" s="201">
        <v>0</v>
      </c>
      <c r="H24" s="201">
        <v>3</v>
      </c>
      <c r="I24" s="201">
        <v>0</v>
      </c>
      <c r="J24" s="201">
        <v>103.14</v>
      </c>
      <c r="K24" s="201">
        <v>0</v>
      </c>
      <c r="L24" s="201">
        <v>11.08</v>
      </c>
      <c r="M24" s="201">
        <v>0</v>
      </c>
      <c r="N24" s="201">
        <v>0</v>
      </c>
      <c r="O24" s="201">
        <v>27</v>
      </c>
      <c r="P24" s="201">
        <v>3579.97</v>
      </c>
      <c r="Q24" s="1156">
        <f t="shared" si="0"/>
        <v>3961.7799999999997</v>
      </c>
    </row>
    <row r="25" spans="1:17">
      <c r="A25" s="780">
        <v>21</v>
      </c>
      <c r="B25" s="1157" t="s">
        <v>106</v>
      </c>
      <c r="C25" s="201">
        <f>[1]CROP!D25</f>
        <v>1E-4</v>
      </c>
      <c r="D25" s="1152">
        <v>0</v>
      </c>
      <c r="E25" s="1152">
        <v>0</v>
      </c>
      <c r="F25" s="1152">
        <v>0</v>
      </c>
      <c r="G25" s="1152">
        <v>0</v>
      </c>
      <c r="H25" s="1152">
        <v>0</v>
      </c>
      <c r="I25" s="1152">
        <v>0</v>
      </c>
      <c r="J25" s="1152">
        <v>0</v>
      </c>
      <c r="K25" s="1152">
        <v>0</v>
      </c>
      <c r="L25" s="1152">
        <v>0</v>
      </c>
      <c r="M25" s="1152">
        <v>0</v>
      </c>
      <c r="N25" s="1152">
        <v>0</v>
      </c>
      <c r="O25" s="1152">
        <v>0</v>
      </c>
      <c r="P25" s="1152">
        <v>0</v>
      </c>
      <c r="Q25" s="1156">
        <f t="shared" si="0"/>
        <v>1E-4</v>
      </c>
    </row>
    <row r="26" spans="1:17">
      <c r="A26" s="780">
        <v>22</v>
      </c>
      <c r="B26" s="1157" t="s">
        <v>108</v>
      </c>
      <c r="C26" s="201">
        <v>0</v>
      </c>
      <c r="D26" s="1152">
        <v>0</v>
      </c>
      <c r="E26" s="1152">
        <v>0</v>
      </c>
      <c r="F26" s="1152">
        <v>0</v>
      </c>
      <c r="G26" s="1152">
        <v>0</v>
      </c>
      <c r="H26" s="1152">
        <v>0</v>
      </c>
      <c r="I26" s="1152">
        <v>0</v>
      </c>
      <c r="J26" s="1152">
        <v>0</v>
      </c>
      <c r="K26" s="1152">
        <v>0</v>
      </c>
      <c r="L26" s="1152">
        <v>0</v>
      </c>
      <c r="M26" s="1152">
        <v>0</v>
      </c>
      <c r="N26" s="1152">
        <v>0</v>
      </c>
      <c r="O26" s="1152">
        <v>0</v>
      </c>
      <c r="P26" s="1152">
        <v>0</v>
      </c>
      <c r="Q26" s="1156">
        <f t="shared" si="0"/>
        <v>0</v>
      </c>
    </row>
    <row r="27" spans="1:17">
      <c r="A27" s="200">
        <v>23</v>
      </c>
      <c r="B27" s="1157" t="s">
        <v>237</v>
      </c>
      <c r="C27" s="201">
        <v>0</v>
      </c>
      <c r="D27" s="1152">
        <v>0</v>
      </c>
      <c r="E27" s="1152">
        <v>0</v>
      </c>
      <c r="F27" s="1152">
        <v>0</v>
      </c>
      <c r="G27" s="1152">
        <v>0</v>
      </c>
      <c r="H27" s="1152">
        <v>0</v>
      </c>
      <c r="I27" s="1152">
        <v>0</v>
      </c>
      <c r="J27" s="1152">
        <v>0</v>
      </c>
      <c r="K27" s="1152">
        <v>0</v>
      </c>
      <c r="L27" s="1152">
        <v>0</v>
      </c>
      <c r="M27" s="1152">
        <v>0</v>
      </c>
      <c r="N27" s="1152">
        <v>0</v>
      </c>
      <c r="O27" s="1152">
        <v>0</v>
      </c>
      <c r="P27" s="1152">
        <v>0</v>
      </c>
      <c r="Q27" s="1156">
        <f t="shared" si="0"/>
        <v>0</v>
      </c>
    </row>
    <row r="28" spans="1:17">
      <c r="A28" s="1487" t="s">
        <v>205</v>
      </c>
      <c r="B28" s="1487"/>
      <c r="C28" s="840">
        <f>SUM(C5:C26)</f>
        <v>6775.6203000000005</v>
      </c>
      <c r="D28" s="1156">
        <f t="shared" ref="D28:P28" si="1">SUM(D5:D27)</f>
        <v>391.84</v>
      </c>
      <c r="E28" s="1156">
        <f t="shared" si="1"/>
        <v>5.07</v>
      </c>
      <c r="F28" s="1156">
        <f t="shared" si="1"/>
        <v>8.36</v>
      </c>
      <c r="G28" s="1156">
        <f t="shared" si="1"/>
        <v>178</v>
      </c>
      <c r="H28" s="1156">
        <f t="shared" si="1"/>
        <v>31.5</v>
      </c>
      <c r="I28" s="1156">
        <f t="shared" si="1"/>
        <v>171.64</v>
      </c>
      <c r="J28" s="1156">
        <f t="shared" si="1"/>
        <v>491.89</v>
      </c>
      <c r="K28" s="1160">
        <f t="shared" si="1"/>
        <v>14.05</v>
      </c>
      <c r="L28" s="1160">
        <f t="shared" si="1"/>
        <v>245.06000000000003</v>
      </c>
      <c r="M28" s="1160">
        <f t="shared" si="1"/>
        <v>40.630000000000003</v>
      </c>
      <c r="N28" s="1160">
        <f t="shared" si="1"/>
        <v>18</v>
      </c>
      <c r="O28" s="1160">
        <f t="shared" si="1"/>
        <v>216.72</v>
      </c>
      <c r="P28" s="1156">
        <f t="shared" si="1"/>
        <v>8134.2899999999991</v>
      </c>
      <c r="Q28" s="1156">
        <f t="shared" si="0"/>
        <v>16722.670299999998</v>
      </c>
    </row>
    <row r="29" spans="1:17">
      <c r="A29" s="208">
        <v>1</v>
      </c>
      <c r="B29" s="209" t="s">
        <v>16</v>
      </c>
      <c r="C29" s="328">
        <f>[1]CROP!D29</f>
        <v>2405</v>
      </c>
      <c r="D29" s="328">
        <v>106.03</v>
      </c>
      <c r="E29" s="328">
        <v>0</v>
      </c>
      <c r="F29" s="328">
        <v>0</v>
      </c>
      <c r="G29" s="328">
        <v>28.69</v>
      </c>
      <c r="H29" s="328">
        <v>0</v>
      </c>
      <c r="I29" s="328">
        <v>0</v>
      </c>
      <c r="J29" s="328">
        <v>21.31</v>
      </c>
      <c r="K29" s="328">
        <v>14.15</v>
      </c>
      <c r="L29" s="328">
        <v>41.18</v>
      </c>
      <c r="M29" s="328">
        <v>4.18</v>
      </c>
      <c r="N29" s="328">
        <v>5.17</v>
      </c>
      <c r="O29" s="328">
        <v>0</v>
      </c>
      <c r="P29" s="328">
        <v>345.23</v>
      </c>
      <c r="Q29" s="1156">
        <f t="shared" si="0"/>
        <v>2970.94</v>
      </c>
    </row>
    <row r="30" spans="1:17">
      <c r="A30" s="208">
        <v>1</v>
      </c>
      <c r="B30" s="209" t="s">
        <v>110</v>
      </c>
      <c r="C30" s="328">
        <f>[1]CROP!D30</f>
        <v>502.17</v>
      </c>
      <c r="D30" s="328">
        <v>242.87</v>
      </c>
      <c r="E30" s="328">
        <v>0</v>
      </c>
      <c r="F30" s="328">
        <v>0</v>
      </c>
      <c r="G30" s="328">
        <v>0</v>
      </c>
      <c r="H30" s="328">
        <v>0</v>
      </c>
      <c r="I30" s="328">
        <v>0</v>
      </c>
      <c r="J30" s="328">
        <v>330.85</v>
      </c>
      <c r="K30" s="328">
        <v>0</v>
      </c>
      <c r="L30" s="328">
        <v>291.05</v>
      </c>
      <c r="M30" s="328">
        <v>318.87</v>
      </c>
      <c r="N30" s="328">
        <v>0</v>
      </c>
      <c r="O30" s="328">
        <v>0</v>
      </c>
      <c r="P30" s="328">
        <v>5609.84</v>
      </c>
      <c r="Q30" s="330">
        <f t="shared" si="0"/>
        <v>7295.65</v>
      </c>
    </row>
    <row r="31" spans="1:17">
      <c r="A31" s="1496" t="s">
        <v>188</v>
      </c>
      <c r="B31" s="1496"/>
      <c r="C31" s="840">
        <f t="shared" ref="C31:P31" si="2">SUM(C28:C30)</f>
        <v>9682.7903000000006</v>
      </c>
      <c r="D31" s="840">
        <f t="shared" si="2"/>
        <v>740.74</v>
      </c>
      <c r="E31" s="1161">
        <f t="shared" si="2"/>
        <v>5.07</v>
      </c>
      <c r="F31" s="1161">
        <f t="shared" si="2"/>
        <v>8.36</v>
      </c>
      <c r="G31" s="1161">
        <f t="shared" si="2"/>
        <v>206.69</v>
      </c>
      <c r="H31" s="1161">
        <f t="shared" si="2"/>
        <v>31.5</v>
      </c>
      <c r="I31" s="1161">
        <f t="shared" si="2"/>
        <v>171.64</v>
      </c>
      <c r="J31" s="1161">
        <f t="shared" si="2"/>
        <v>844.05</v>
      </c>
      <c r="K31" s="1161">
        <f t="shared" si="2"/>
        <v>28.200000000000003</v>
      </c>
      <c r="L31" s="1161">
        <f t="shared" si="2"/>
        <v>577.29</v>
      </c>
      <c r="M31" s="1161">
        <f t="shared" si="2"/>
        <v>363.68</v>
      </c>
      <c r="N31" s="1161">
        <f t="shared" si="2"/>
        <v>23.17</v>
      </c>
      <c r="O31" s="1161">
        <f t="shared" si="2"/>
        <v>216.72</v>
      </c>
      <c r="P31" s="1161">
        <f t="shared" si="2"/>
        <v>14089.359999999999</v>
      </c>
      <c r="Q31" s="1156">
        <f t="shared" si="0"/>
        <v>26989.260300000002</v>
      </c>
    </row>
    <row r="32" spans="1:17">
      <c r="A32" s="1162"/>
      <c r="B32" s="1163" t="s">
        <v>119</v>
      </c>
      <c r="C32" s="1164">
        <v>0</v>
      </c>
      <c r="D32" s="1164">
        <v>0</v>
      </c>
      <c r="E32" s="1164">
        <v>0</v>
      </c>
      <c r="F32" s="1164">
        <v>0</v>
      </c>
      <c r="G32" s="1164">
        <v>0</v>
      </c>
      <c r="H32" s="1164">
        <v>0</v>
      </c>
      <c r="I32" s="1164">
        <v>0</v>
      </c>
      <c r="J32" s="1164">
        <v>0</v>
      </c>
      <c r="K32" s="1164">
        <v>0</v>
      </c>
      <c r="L32" s="1164">
        <v>0</v>
      </c>
      <c r="M32" s="1165">
        <v>0</v>
      </c>
      <c r="N32" s="1165">
        <v>0</v>
      </c>
      <c r="O32" s="1165">
        <v>0</v>
      </c>
      <c r="P32" s="1165">
        <v>52383.17</v>
      </c>
      <c r="Q32" s="1156">
        <f t="shared" si="0"/>
        <v>52383.17</v>
      </c>
    </row>
    <row r="33" spans="1:17">
      <c r="A33" s="1497" t="s">
        <v>206</v>
      </c>
      <c r="B33" s="1498"/>
      <c r="C33" s="1166">
        <f t="shared" ref="C33:P33" si="3">SUM(C31:C32)</f>
        <v>9682.7903000000006</v>
      </c>
      <c r="D33" s="1166">
        <f t="shared" si="3"/>
        <v>740.74</v>
      </c>
      <c r="E33" s="1166">
        <f t="shared" si="3"/>
        <v>5.07</v>
      </c>
      <c r="F33" s="1166">
        <f t="shared" si="3"/>
        <v>8.36</v>
      </c>
      <c r="G33" s="1166">
        <f t="shared" si="3"/>
        <v>206.69</v>
      </c>
      <c r="H33" s="1166">
        <f t="shared" si="3"/>
        <v>31.5</v>
      </c>
      <c r="I33" s="1166">
        <f t="shared" si="3"/>
        <v>171.64</v>
      </c>
      <c r="J33" s="1166">
        <f t="shared" si="3"/>
        <v>844.05</v>
      </c>
      <c r="K33" s="1166">
        <f t="shared" si="3"/>
        <v>28.200000000000003</v>
      </c>
      <c r="L33" s="1166">
        <f t="shared" si="3"/>
        <v>577.29</v>
      </c>
      <c r="M33" s="1166">
        <f t="shared" si="3"/>
        <v>363.68</v>
      </c>
      <c r="N33" s="1166">
        <f t="shared" si="3"/>
        <v>23.17</v>
      </c>
      <c r="O33" s="1166">
        <f t="shared" si="3"/>
        <v>216.72</v>
      </c>
      <c r="P33" s="1166">
        <f t="shared" si="3"/>
        <v>66472.53</v>
      </c>
      <c r="Q33" s="1156">
        <f t="shared" si="0"/>
        <v>79372.430300000007</v>
      </c>
    </row>
    <row r="34" spans="1:17">
      <c r="A34" s="1492"/>
      <c r="B34" s="1492"/>
      <c r="C34" s="1167"/>
      <c r="D34" s="1167"/>
      <c r="E34" s="1167"/>
      <c r="F34" s="1167"/>
      <c r="G34" s="1167"/>
      <c r="H34" s="1167"/>
      <c r="I34" s="1167"/>
      <c r="J34" s="1167"/>
      <c r="K34" s="1167"/>
      <c r="L34" s="1167"/>
      <c r="M34" s="1167"/>
      <c r="N34" s="1167"/>
      <c r="O34" s="1167"/>
      <c r="P34" s="1167"/>
      <c r="Q34" s="1167"/>
    </row>
    <row r="35" spans="1:17">
      <c r="A35" s="1493" t="s">
        <v>238</v>
      </c>
      <c r="B35" s="1493"/>
      <c r="C35" s="167">
        <v>8598.66</v>
      </c>
      <c r="D35" s="167">
        <v>740.74</v>
      </c>
      <c r="E35" s="167">
        <v>5.07</v>
      </c>
      <c r="F35" s="167">
        <v>8.36</v>
      </c>
      <c r="G35" s="167">
        <v>206.69</v>
      </c>
      <c r="H35" s="167">
        <v>31.5</v>
      </c>
      <c r="I35" s="167">
        <v>171.64</v>
      </c>
      <c r="J35" s="167">
        <v>844.05</v>
      </c>
      <c r="K35" s="167">
        <v>28.2</v>
      </c>
      <c r="L35" s="167">
        <v>577.29</v>
      </c>
      <c r="M35" s="167">
        <v>363.68</v>
      </c>
      <c r="N35" s="167">
        <v>23.17</v>
      </c>
      <c r="O35" s="167">
        <v>216.72</v>
      </c>
      <c r="P35" s="167">
        <v>63015.42</v>
      </c>
      <c r="Q35" s="167">
        <v>74831.19</v>
      </c>
    </row>
  </sheetData>
  <mergeCells count="8">
    <mergeCell ref="A34:B34"/>
    <mergeCell ref="A35:B35"/>
    <mergeCell ref="A1:Q1"/>
    <mergeCell ref="A2:Q2"/>
    <mergeCell ref="A3:Q3"/>
    <mergeCell ref="A28:B28"/>
    <mergeCell ref="A31:B31"/>
    <mergeCell ref="A33:B33"/>
  </mergeCells>
  <printOptions gridLines="1"/>
  <pageMargins left="0.7" right="0.7" top="0.75" bottom="0.75" header="0.3" footer="0.3"/>
  <pageSetup paperSize="9" scale="8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sqref="A1:L1"/>
    </sheetView>
  </sheetViews>
  <sheetFormatPr defaultRowHeight="15"/>
  <sheetData>
    <row r="1" spans="1:12">
      <c r="A1" s="1494">
        <v>25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</row>
    <row r="2" spans="1:12">
      <c r="A2" s="1489" t="s">
        <v>609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</row>
    <row r="3" spans="1:12">
      <c r="A3" s="1501" t="s">
        <v>603</v>
      </c>
      <c r="B3" s="1501"/>
      <c r="C3" s="1501"/>
      <c r="D3" s="1501"/>
      <c r="E3" s="1501"/>
      <c r="F3" s="1501"/>
      <c r="G3" s="1501"/>
      <c r="H3" s="1501"/>
      <c r="I3" s="1501"/>
      <c r="J3" s="1501"/>
      <c r="K3" s="1501"/>
      <c r="L3" s="1501"/>
    </row>
    <row r="4" spans="1:12" ht="38.25">
      <c r="A4" s="210" t="s">
        <v>130</v>
      </c>
      <c r="B4" s="210" t="s">
        <v>131</v>
      </c>
      <c r="C4" s="211" t="s">
        <v>209</v>
      </c>
      <c r="D4" s="212" t="s">
        <v>210</v>
      </c>
      <c r="E4" s="210" t="s">
        <v>211</v>
      </c>
      <c r="F4" s="210" t="s">
        <v>212</v>
      </c>
      <c r="G4" s="210" t="s">
        <v>240</v>
      </c>
      <c r="H4" s="210" t="s">
        <v>214</v>
      </c>
      <c r="I4" s="210" t="s">
        <v>215</v>
      </c>
      <c r="J4" s="1168" t="s">
        <v>216</v>
      </c>
      <c r="K4" s="210" t="s">
        <v>217</v>
      </c>
      <c r="L4" s="210" t="s">
        <v>218</v>
      </c>
    </row>
    <row r="5" spans="1:12">
      <c r="A5" s="213">
        <v>1</v>
      </c>
      <c r="B5" s="214" t="s">
        <v>78</v>
      </c>
      <c r="C5" s="215">
        <v>24</v>
      </c>
      <c r="D5" s="216">
        <v>130.38999999999999</v>
      </c>
      <c r="E5" s="217">
        <v>9</v>
      </c>
      <c r="F5" s="218">
        <v>6</v>
      </c>
      <c r="G5" s="218">
        <f t="shared" ref="G5:G28" si="0">F5/E5*100</f>
        <v>66.666666666666657</v>
      </c>
      <c r="H5" s="218">
        <f>E5-F5</f>
        <v>3</v>
      </c>
      <c r="I5" s="781">
        <f t="shared" ref="I5:I30" si="1">H5/E5%</f>
        <v>33.333333333333336</v>
      </c>
      <c r="J5" s="303">
        <v>0</v>
      </c>
      <c r="K5" s="217">
        <f t="shared" ref="K5:K32" si="2">J5/D5%</f>
        <v>0</v>
      </c>
      <c r="L5" s="219">
        <v>1</v>
      </c>
    </row>
    <row r="6" spans="1:12">
      <c r="A6" s="213">
        <v>2</v>
      </c>
      <c r="B6" s="214" t="s">
        <v>27</v>
      </c>
      <c r="C6" s="215">
        <v>0</v>
      </c>
      <c r="D6" s="216">
        <v>0</v>
      </c>
      <c r="E6" s="217">
        <v>0</v>
      </c>
      <c r="F6" s="218">
        <v>0</v>
      </c>
      <c r="G6" s="218">
        <v>0</v>
      </c>
      <c r="H6" s="218">
        <v>0</v>
      </c>
      <c r="I6" s="781">
        <v>0</v>
      </c>
      <c r="J6" s="303">
        <v>0</v>
      </c>
      <c r="K6" s="217">
        <v>0</v>
      </c>
      <c r="L6" s="219">
        <v>1</v>
      </c>
    </row>
    <row r="7" spans="1:12">
      <c r="A7" s="213">
        <v>3</v>
      </c>
      <c r="B7" s="214" t="s">
        <v>46</v>
      </c>
      <c r="C7" s="215">
        <v>33</v>
      </c>
      <c r="D7" s="216">
        <v>64.88</v>
      </c>
      <c r="E7" s="217">
        <v>12</v>
      </c>
      <c r="F7" s="218">
        <v>1.19</v>
      </c>
      <c r="G7" s="218">
        <f t="shared" si="0"/>
        <v>9.9166666666666661</v>
      </c>
      <c r="H7" s="218">
        <f t="shared" ref="H7:H33" si="3">E7-F7</f>
        <v>10.81</v>
      </c>
      <c r="I7" s="781">
        <f t="shared" si="1"/>
        <v>90.083333333333343</v>
      </c>
      <c r="J7" s="303">
        <v>12</v>
      </c>
      <c r="K7" s="217">
        <f t="shared" si="2"/>
        <v>18.495684340320594</v>
      </c>
      <c r="L7" s="219">
        <v>10</v>
      </c>
    </row>
    <row r="8" spans="1:12">
      <c r="A8" s="213">
        <v>4</v>
      </c>
      <c r="B8" s="1169" t="s">
        <v>32</v>
      </c>
      <c r="C8" s="215">
        <v>742</v>
      </c>
      <c r="D8" s="216">
        <v>751.39</v>
      </c>
      <c r="E8" s="217">
        <v>204.9</v>
      </c>
      <c r="F8" s="218">
        <v>102.75</v>
      </c>
      <c r="G8" s="218">
        <f t="shared" si="0"/>
        <v>50.146412884333827</v>
      </c>
      <c r="H8" s="218">
        <f t="shared" si="3"/>
        <v>102.15</v>
      </c>
      <c r="I8" s="781">
        <f t="shared" si="1"/>
        <v>49.85358711566618</v>
      </c>
      <c r="J8" s="766">
        <v>2.94</v>
      </c>
      <c r="K8" s="217">
        <f t="shared" si="2"/>
        <v>0.39127483730153451</v>
      </c>
      <c r="L8" s="219">
        <v>42.37</v>
      </c>
    </row>
    <row r="9" spans="1:12">
      <c r="A9" s="1170">
        <v>5</v>
      </c>
      <c r="B9" s="1169" t="s">
        <v>83</v>
      </c>
      <c r="C9" s="215">
        <v>0</v>
      </c>
      <c r="D9" s="216">
        <v>1.91</v>
      </c>
      <c r="E9" s="217">
        <v>0</v>
      </c>
      <c r="F9" s="218">
        <v>0</v>
      </c>
      <c r="G9" s="218">
        <v>0</v>
      </c>
      <c r="H9" s="218">
        <f t="shared" si="3"/>
        <v>0</v>
      </c>
      <c r="I9" s="781">
        <v>0</v>
      </c>
      <c r="J9" s="303">
        <v>0</v>
      </c>
      <c r="K9" s="217">
        <v>0</v>
      </c>
      <c r="L9" s="219">
        <v>1.91</v>
      </c>
    </row>
    <row r="10" spans="1:12">
      <c r="A10" s="213">
        <v>6</v>
      </c>
      <c r="B10" s="758" t="s">
        <v>85</v>
      </c>
      <c r="C10" s="215">
        <v>226</v>
      </c>
      <c r="D10" s="216">
        <v>742.33</v>
      </c>
      <c r="E10" s="217">
        <v>106.4</v>
      </c>
      <c r="F10" s="218">
        <v>40.200000000000003</v>
      </c>
      <c r="G10" s="218">
        <f>F10/E10*100</f>
        <v>37.781954887218042</v>
      </c>
      <c r="H10" s="218">
        <f t="shared" si="3"/>
        <v>66.2</v>
      </c>
      <c r="I10" s="781">
        <f t="shared" si="1"/>
        <v>62.218045112781951</v>
      </c>
      <c r="J10" s="761">
        <v>58</v>
      </c>
      <c r="K10" s="217">
        <f t="shared" si="2"/>
        <v>7.8132367006587362</v>
      </c>
      <c r="L10" s="219">
        <v>71.39</v>
      </c>
    </row>
    <row r="11" spans="1:12">
      <c r="A11" s="331">
        <v>7</v>
      </c>
      <c r="B11" s="758" t="s">
        <v>17</v>
      </c>
      <c r="C11" s="333">
        <v>1628</v>
      </c>
      <c r="D11" s="216">
        <v>801.66</v>
      </c>
      <c r="E11" s="334">
        <v>475.5</v>
      </c>
      <c r="F11" s="335">
        <v>78.5</v>
      </c>
      <c r="G11" s="335">
        <f t="shared" si="0"/>
        <v>16.508937960042061</v>
      </c>
      <c r="H11" s="335">
        <f t="shared" si="3"/>
        <v>397</v>
      </c>
      <c r="I11" s="759">
        <f>H11/E11%</f>
        <v>83.491062039957939</v>
      </c>
      <c r="J11" s="303">
        <v>55</v>
      </c>
      <c r="K11" s="334">
        <f t="shared" si="2"/>
        <v>6.8607639148766308</v>
      </c>
      <c r="L11" s="336">
        <v>16.02</v>
      </c>
    </row>
    <row r="12" spans="1:12">
      <c r="A12" s="213">
        <v>8</v>
      </c>
      <c r="B12" s="332" t="s">
        <v>26</v>
      </c>
      <c r="C12" s="333">
        <v>15</v>
      </c>
      <c r="D12" s="216">
        <v>283.51</v>
      </c>
      <c r="E12" s="334">
        <v>2.97</v>
      </c>
      <c r="F12" s="335">
        <v>2.48</v>
      </c>
      <c r="G12" s="335">
        <f>F12/E12%</f>
        <v>83.501683501683502</v>
      </c>
      <c r="H12" s="335">
        <f t="shared" si="3"/>
        <v>0.49000000000000021</v>
      </c>
      <c r="I12" s="759">
        <f>H12/E12%</f>
        <v>16.498316498316505</v>
      </c>
      <c r="J12" s="165">
        <v>9.08</v>
      </c>
      <c r="K12" s="334">
        <f t="shared" si="2"/>
        <v>3.2027088991569967</v>
      </c>
      <c r="L12" s="336">
        <v>361.03</v>
      </c>
    </row>
    <row r="13" spans="1:12">
      <c r="A13" s="1171">
        <v>9</v>
      </c>
      <c r="B13" s="758" t="s">
        <v>11</v>
      </c>
      <c r="C13" s="333">
        <v>4</v>
      </c>
      <c r="D13" s="216">
        <v>25.5</v>
      </c>
      <c r="E13" s="334">
        <v>0</v>
      </c>
      <c r="F13" s="335">
        <v>0</v>
      </c>
      <c r="G13" s="335">
        <v>0</v>
      </c>
      <c r="H13" s="335">
        <f t="shared" si="3"/>
        <v>0</v>
      </c>
      <c r="I13" s="759">
        <v>0</v>
      </c>
      <c r="J13" s="766">
        <v>0</v>
      </c>
      <c r="K13" s="334">
        <v>0</v>
      </c>
      <c r="L13" s="336">
        <v>20.43</v>
      </c>
    </row>
    <row r="14" spans="1:12">
      <c r="A14" s="1170">
        <v>10</v>
      </c>
      <c r="B14" s="1169" t="s">
        <v>90</v>
      </c>
      <c r="C14" s="215">
        <v>256</v>
      </c>
      <c r="D14" s="216">
        <v>81.38</v>
      </c>
      <c r="E14" s="217">
        <v>62.98</v>
      </c>
      <c r="F14" s="218">
        <v>0</v>
      </c>
      <c r="G14" s="218">
        <v>0</v>
      </c>
      <c r="H14" s="218">
        <f t="shared" si="3"/>
        <v>62.98</v>
      </c>
      <c r="I14" s="781">
        <f t="shared" si="1"/>
        <v>100.00000000000001</v>
      </c>
      <c r="J14" s="761">
        <v>16</v>
      </c>
      <c r="K14" s="217">
        <f t="shared" si="2"/>
        <v>19.660850331776849</v>
      </c>
      <c r="L14" s="219">
        <v>15.75</v>
      </c>
    </row>
    <row r="15" spans="1:12">
      <c r="A15" s="331">
        <v>11</v>
      </c>
      <c r="B15" s="332" t="s">
        <v>92</v>
      </c>
      <c r="C15" s="333">
        <v>24</v>
      </c>
      <c r="D15" s="216">
        <v>407.06</v>
      </c>
      <c r="E15" s="334">
        <v>400</v>
      </c>
      <c r="F15" s="335">
        <v>0</v>
      </c>
      <c r="G15" s="335">
        <v>0</v>
      </c>
      <c r="H15" s="335">
        <f t="shared" si="3"/>
        <v>400</v>
      </c>
      <c r="I15" s="759">
        <f t="shared" si="1"/>
        <v>100</v>
      </c>
      <c r="J15" s="766">
        <v>75.599999999999994</v>
      </c>
      <c r="K15" s="334">
        <f t="shared" si="2"/>
        <v>18.5722006583796</v>
      </c>
      <c r="L15" s="336">
        <v>76.599999999999994</v>
      </c>
    </row>
    <row r="16" spans="1:12">
      <c r="A16" s="1170">
        <v>12</v>
      </c>
      <c r="B16" s="1169" t="s">
        <v>51</v>
      </c>
      <c r="C16" s="215">
        <v>0</v>
      </c>
      <c r="D16" s="216">
        <v>0</v>
      </c>
      <c r="E16" s="217">
        <v>0</v>
      </c>
      <c r="F16" s="218">
        <v>0</v>
      </c>
      <c r="G16" s="218">
        <v>0</v>
      </c>
      <c r="H16" s="218">
        <f t="shared" si="3"/>
        <v>0</v>
      </c>
      <c r="I16" s="781">
        <v>0</v>
      </c>
      <c r="J16" s="303">
        <v>0</v>
      </c>
      <c r="K16" s="217">
        <v>0</v>
      </c>
      <c r="L16" s="219">
        <v>0</v>
      </c>
    </row>
    <row r="17" spans="1:12">
      <c r="A17" s="213">
        <v>13</v>
      </c>
      <c r="B17" s="1169" t="s">
        <v>52</v>
      </c>
      <c r="C17" s="215">
        <v>3</v>
      </c>
      <c r="D17" s="216">
        <v>1.79</v>
      </c>
      <c r="E17" s="217">
        <v>0.7</v>
      </c>
      <c r="F17" s="218">
        <v>0</v>
      </c>
      <c r="G17" s="218">
        <f>F17/E17%</f>
        <v>0</v>
      </c>
      <c r="H17" s="218">
        <f t="shared" si="3"/>
        <v>0.7</v>
      </c>
      <c r="I17" s="781">
        <f>H17/E17%</f>
        <v>100</v>
      </c>
      <c r="J17" s="761">
        <v>5</v>
      </c>
      <c r="K17" s="217">
        <f t="shared" si="2"/>
        <v>279.32960893854749</v>
      </c>
      <c r="L17" s="219">
        <v>0</v>
      </c>
    </row>
    <row r="18" spans="1:12">
      <c r="A18" s="331">
        <v>14</v>
      </c>
      <c r="B18" s="332" t="s">
        <v>28</v>
      </c>
      <c r="C18" s="333">
        <v>3261</v>
      </c>
      <c r="D18" s="216">
        <v>1470.19</v>
      </c>
      <c r="E18" s="334">
        <v>301</v>
      </c>
      <c r="F18" s="335">
        <v>58.6</v>
      </c>
      <c r="G18" s="335">
        <f t="shared" si="0"/>
        <v>19.46843853820598</v>
      </c>
      <c r="H18" s="335">
        <f t="shared" si="3"/>
        <v>242.4</v>
      </c>
      <c r="I18" s="759">
        <f t="shared" si="1"/>
        <v>80.531561461794027</v>
      </c>
      <c r="J18" s="766">
        <v>286.10000000000002</v>
      </c>
      <c r="K18" s="334">
        <f t="shared" si="2"/>
        <v>19.460069786898295</v>
      </c>
      <c r="L18" s="336">
        <v>15.45</v>
      </c>
    </row>
    <row r="19" spans="1:12">
      <c r="A19" s="1170">
        <v>15</v>
      </c>
      <c r="B19" s="1169" t="s">
        <v>10</v>
      </c>
      <c r="C19" s="215">
        <v>8763</v>
      </c>
      <c r="D19" s="216">
        <v>5239.6000000000004</v>
      </c>
      <c r="E19" s="217">
        <v>1604</v>
      </c>
      <c r="F19" s="218">
        <v>780</v>
      </c>
      <c r="G19" s="218">
        <f t="shared" si="0"/>
        <v>48.628428927680801</v>
      </c>
      <c r="H19" s="218">
        <f t="shared" si="3"/>
        <v>824</v>
      </c>
      <c r="I19" s="781">
        <f t="shared" si="1"/>
        <v>51.371571072319206</v>
      </c>
      <c r="J19" s="165">
        <v>536.49</v>
      </c>
      <c r="K19" s="217">
        <v>1272.1099999999999</v>
      </c>
      <c r="L19" s="219">
        <v>695.57</v>
      </c>
    </row>
    <row r="20" spans="1:12">
      <c r="A20" s="1171">
        <v>16</v>
      </c>
      <c r="B20" s="758" t="s">
        <v>98</v>
      </c>
      <c r="C20" s="333">
        <v>232</v>
      </c>
      <c r="D20" s="216">
        <v>194.68</v>
      </c>
      <c r="E20" s="334">
        <v>7.7</v>
      </c>
      <c r="F20" s="335">
        <v>2.25</v>
      </c>
      <c r="G20" s="335">
        <f t="shared" si="0"/>
        <v>29.220779220779221</v>
      </c>
      <c r="H20" s="335">
        <f t="shared" si="3"/>
        <v>5.45</v>
      </c>
      <c r="I20" s="759">
        <f t="shared" si="1"/>
        <v>70.779220779220779</v>
      </c>
      <c r="J20" s="303">
        <v>4.0999999999999996</v>
      </c>
      <c r="K20" s="334">
        <f t="shared" si="2"/>
        <v>2.10602013560715</v>
      </c>
      <c r="L20" s="336">
        <v>9</v>
      </c>
    </row>
    <row r="21" spans="1:12">
      <c r="A21" s="213">
        <v>17</v>
      </c>
      <c r="B21" s="758" t="s">
        <v>35</v>
      </c>
      <c r="C21" s="215">
        <v>615</v>
      </c>
      <c r="D21" s="216">
        <v>929.71</v>
      </c>
      <c r="E21" s="217">
        <v>281.89</v>
      </c>
      <c r="F21" s="218">
        <v>12.37</v>
      </c>
      <c r="G21" s="218">
        <f t="shared" si="0"/>
        <v>4.388236546170492</v>
      </c>
      <c r="H21" s="218">
        <f t="shared" si="3"/>
        <v>269.52</v>
      </c>
      <c r="I21" s="781">
        <f t="shared" si="1"/>
        <v>95.611763453829511</v>
      </c>
      <c r="J21" s="761">
        <v>19.3</v>
      </c>
      <c r="K21" s="217">
        <f t="shared" si="2"/>
        <v>2.0759161458949564</v>
      </c>
      <c r="L21" s="219">
        <v>9.74</v>
      </c>
    </row>
    <row r="22" spans="1:12">
      <c r="A22" s="331">
        <v>18</v>
      </c>
      <c r="B22" s="332" t="s">
        <v>54</v>
      </c>
      <c r="C22" s="333">
        <v>520</v>
      </c>
      <c r="D22" s="216">
        <v>1517.69</v>
      </c>
      <c r="E22" s="334">
        <v>262.22000000000003</v>
      </c>
      <c r="F22" s="335">
        <v>20</v>
      </c>
      <c r="G22" s="335">
        <f t="shared" si="0"/>
        <v>7.6271832812142462</v>
      </c>
      <c r="H22" s="335">
        <f t="shared" si="3"/>
        <v>242.22000000000003</v>
      </c>
      <c r="I22" s="759">
        <f t="shared" si="1"/>
        <v>92.372816718785757</v>
      </c>
      <c r="J22" s="165">
        <v>215.72</v>
      </c>
      <c r="K22" s="334">
        <f t="shared" si="2"/>
        <v>14.213706356370537</v>
      </c>
      <c r="L22" s="336">
        <v>434.83</v>
      </c>
    </row>
    <row r="23" spans="1:12">
      <c r="A23" s="1171">
        <v>19</v>
      </c>
      <c r="B23" s="758" t="s">
        <v>102</v>
      </c>
      <c r="C23" s="333">
        <v>201</v>
      </c>
      <c r="D23" s="216">
        <v>117.22</v>
      </c>
      <c r="E23" s="334">
        <v>46.24</v>
      </c>
      <c r="F23" s="335">
        <v>3.8</v>
      </c>
      <c r="G23" s="335">
        <f t="shared" si="0"/>
        <v>8.2179930795847742</v>
      </c>
      <c r="H23" s="335">
        <f t="shared" si="3"/>
        <v>42.440000000000005</v>
      </c>
      <c r="I23" s="759">
        <f t="shared" si="1"/>
        <v>91.782006920415228</v>
      </c>
      <c r="J23" s="303">
        <v>1.54</v>
      </c>
      <c r="K23" s="334">
        <f t="shared" si="2"/>
        <v>1.3137689814024911</v>
      </c>
      <c r="L23" s="336">
        <v>37.200000000000003</v>
      </c>
    </row>
    <row r="24" spans="1:12">
      <c r="A24" s="213">
        <v>20</v>
      </c>
      <c r="B24" s="1169" t="s">
        <v>104</v>
      </c>
      <c r="C24" s="215">
        <v>140</v>
      </c>
      <c r="D24" s="216">
        <v>3961.78</v>
      </c>
      <c r="E24" s="217">
        <v>102.99</v>
      </c>
      <c r="F24" s="218">
        <v>33.979999999999997</v>
      </c>
      <c r="G24" s="218">
        <f t="shared" si="0"/>
        <v>32.993494514030488</v>
      </c>
      <c r="H24" s="218">
        <f t="shared" si="3"/>
        <v>69.009999999999991</v>
      </c>
      <c r="I24" s="781">
        <f t="shared" si="1"/>
        <v>67.006505485969498</v>
      </c>
      <c r="J24" s="766">
        <v>18.16</v>
      </c>
      <c r="K24" s="217">
        <f t="shared" si="2"/>
        <v>0.45837981917219023</v>
      </c>
      <c r="L24" s="219">
        <v>1148.5</v>
      </c>
    </row>
    <row r="25" spans="1:12">
      <c r="A25" s="1170">
        <v>21</v>
      </c>
      <c r="B25" s="1169" t="s">
        <v>106</v>
      </c>
      <c r="C25" s="215">
        <v>0</v>
      </c>
      <c r="D25" s="216">
        <v>0</v>
      </c>
      <c r="E25" s="217">
        <v>0</v>
      </c>
      <c r="F25" s="218">
        <v>0</v>
      </c>
      <c r="G25" s="218">
        <v>0</v>
      </c>
      <c r="H25" s="218">
        <f t="shared" si="3"/>
        <v>0</v>
      </c>
      <c r="I25" s="781">
        <v>0</v>
      </c>
      <c r="J25" s="766">
        <v>0</v>
      </c>
      <c r="K25" s="217">
        <v>0</v>
      </c>
      <c r="L25" s="219">
        <v>0</v>
      </c>
    </row>
    <row r="26" spans="1:12" ht="26.25">
      <c r="A26" s="1170">
        <v>22</v>
      </c>
      <c r="B26" s="1169" t="s">
        <v>75</v>
      </c>
      <c r="C26" s="215">
        <v>0</v>
      </c>
      <c r="D26" s="216">
        <v>0</v>
      </c>
      <c r="E26" s="217">
        <v>0</v>
      </c>
      <c r="F26" s="218">
        <v>0</v>
      </c>
      <c r="G26" s="218">
        <v>0</v>
      </c>
      <c r="H26" s="218">
        <v>0</v>
      </c>
      <c r="I26" s="781">
        <v>0</v>
      </c>
      <c r="J26" s="303">
        <v>0</v>
      </c>
      <c r="K26" s="217">
        <v>0</v>
      </c>
      <c r="L26" s="219">
        <v>0</v>
      </c>
    </row>
    <row r="27" spans="1:12" ht="26.25">
      <c r="A27" s="213">
        <v>23</v>
      </c>
      <c r="B27" s="1169" t="s">
        <v>59</v>
      </c>
      <c r="C27" s="215">
        <v>0</v>
      </c>
      <c r="D27" s="216">
        <v>0</v>
      </c>
      <c r="E27" s="217">
        <v>0</v>
      </c>
      <c r="F27" s="218">
        <v>0</v>
      </c>
      <c r="G27" s="218">
        <v>0</v>
      </c>
      <c r="H27" s="218">
        <v>0</v>
      </c>
      <c r="I27" s="781">
        <v>0</v>
      </c>
      <c r="J27" s="303">
        <v>0</v>
      </c>
      <c r="K27" s="217">
        <v>0</v>
      </c>
      <c r="L27" s="219">
        <v>0</v>
      </c>
    </row>
    <row r="28" spans="1:12">
      <c r="A28" s="1172" t="s">
        <v>113</v>
      </c>
      <c r="B28" s="1173" t="s">
        <v>13</v>
      </c>
      <c r="C28" s="1174">
        <f>SUM(C5:C27)</f>
        <v>16687</v>
      </c>
      <c r="D28" s="1175">
        <f>SUM(D5:D27)</f>
        <v>16722.669999999998</v>
      </c>
      <c r="E28" s="1176">
        <f>SUM(E5:E27)</f>
        <v>3880.4899999999989</v>
      </c>
      <c r="F28" s="1176">
        <f>SUM(F5:F27)</f>
        <v>1142.1199999999999</v>
      </c>
      <c r="G28" s="1176">
        <f t="shared" si="0"/>
        <v>29.432365500233225</v>
      </c>
      <c r="H28" s="1176">
        <f t="shared" si="3"/>
        <v>2738.369999999999</v>
      </c>
      <c r="I28" s="1176">
        <f t="shared" si="1"/>
        <v>70.567634499766768</v>
      </c>
      <c r="J28" s="1175">
        <f>SUM(J5:J27)</f>
        <v>1315.03</v>
      </c>
      <c r="K28" s="1176">
        <f t="shared" si="2"/>
        <v>7.8637562063952711</v>
      </c>
      <c r="L28" s="1176">
        <f>SUM(L5:L27)</f>
        <v>2967.79</v>
      </c>
    </row>
    <row r="29" spans="1:12">
      <c r="A29" s="1171">
        <v>1</v>
      </c>
      <c r="B29" s="758" t="s">
        <v>16</v>
      </c>
      <c r="C29" s="332">
        <v>3469</v>
      </c>
      <c r="D29" s="335">
        <v>2970.94</v>
      </c>
      <c r="E29" s="335">
        <v>232.39</v>
      </c>
      <c r="F29" s="335">
        <v>135.86000000000001</v>
      </c>
      <c r="G29" s="335">
        <f>F29/E29%</f>
        <v>58.46206807521839</v>
      </c>
      <c r="H29" s="335">
        <f t="shared" si="3"/>
        <v>96.529999999999973</v>
      </c>
      <c r="I29" s="335">
        <f t="shared" si="1"/>
        <v>41.537931924781603</v>
      </c>
      <c r="J29" s="335">
        <v>36.86</v>
      </c>
      <c r="K29" s="335">
        <f t="shared" si="2"/>
        <v>1.2406847664375584</v>
      </c>
      <c r="L29" s="336">
        <v>651.63</v>
      </c>
    </row>
    <row r="30" spans="1:12">
      <c r="A30" s="1171">
        <v>1</v>
      </c>
      <c r="B30" s="758" t="s">
        <v>110</v>
      </c>
      <c r="C30" s="332">
        <v>11148</v>
      </c>
      <c r="D30" s="335">
        <v>7295.65</v>
      </c>
      <c r="E30" s="335">
        <v>1160.5</v>
      </c>
      <c r="F30" s="335">
        <v>465.4</v>
      </c>
      <c r="G30" s="335">
        <f>F30/E30%</f>
        <v>40.103403705299435</v>
      </c>
      <c r="H30" s="335">
        <f t="shared" si="3"/>
        <v>695.1</v>
      </c>
      <c r="I30" s="335">
        <f t="shared" si="1"/>
        <v>59.896596294700558</v>
      </c>
      <c r="J30" s="335">
        <v>2175.3000000000002</v>
      </c>
      <c r="K30" s="335">
        <f t="shared" si="2"/>
        <v>29.816397442311519</v>
      </c>
      <c r="L30" s="336">
        <v>911.08</v>
      </c>
    </row>
    <row r="31" spans="1:12">
      <c r="A31" s="1502" t="s">
        <v>188</v>
      </c>
      <c r="B31" s="1502"/>
      <c r="C31" s="1174">
        <f>SUM(C28:C30)</f>
        <v>31304</v>
      </c>
      <c r="D31" s="1176">
        <f>SUM(D28:D30)</f>
        <v>26989.259999999995</v>
      </c>
      <c r="E31" s="1176">
        <f>SUM(E28:E30)</f>
        <v>5273.3799999999992</v>
      </c>
      <c r="F31" s="1176">
        <f>SUM(F28:F30)</f>
        <v>1743.38</v>
      </c>
      <c r="G31" s="1176">
        <f>F31/E31%</f>
        <v>33.060010846933089</v>
      </c>
      <c r="H31" s="1176">
        <f t="shared" si="3"/>
        <v>3529.9999999999991</v>
      </c>
      <c r="I31" s="1176">
        <f>100-G31</f>
        <v>66.939989153066904</v>
      </c>
      <c r="J31" s="1176">
        <f>SUM(J28:J30)</f>
        <v>3527.19</v>
      </c>
      <c r="K31" s="1176">
        <f t="shared" si="2"/>
        <v>13.068865170812392</v>
      </c>
      <c r="L31" s="1176">
        <f>SUM(L28:L30)</f>
        <v>4530.5</v>
      </c>
    </row>
    <row r="32" spans="1:12">
      <c r="A32" s="1173"/>
      <c r="B32" s="214" t="s">
        <v>119</v>
      </c>
      <c r="C32" s="1177">
        <v>0</v>
      </c>
      <c r="D32" s="218">
        <v>52383.17</v>
      </c>
      <c r="E32" s="218">
        <v>1E-3</v>
      </c>
      <c r="F32" s="218">
        <v>1E-3</v>
      </c>
      <c r="G32" s="218">
        <v>0</v>
      </c>
      <c r="H32" s="218">
        <f t="shared" si="3"/>
        <v>0</v>
      </c>
      <c r="I32" s="218">
        <f>H32/E32%</f>
        <v>0</v>
      </c>
      <c r="J32" s="218">
        <v>0</v>
      </c>
      <c r="K32" s="218">
        <f t="shared" si="2"/>
        <v>0</v>
      </c>
      <c r="L32" s="218">
        <v>0</v>
      </c>
    </row>
    <row r="33" spans="1:12">
      <c r="A33" s="1503" t="s">
        <v>206</v>
      </c>
      <c r="B33" s="1504"/>
      <c r="C33" s="1174">
        <f>SUM(C31:C32)</f>
        <v>31304</v>
      </c>
      <c r="D33" s="1176">
        <f>SUM(D31:D32)</f>
        <v>79372.429999999993</v>
      </c>
      <c r="E33" s="1176">
        <f>SUM(E31:E32)</f>
        <v>5273.3809999999994</v>
      </c>
      <c r="F33" s="1178">
        <f>SUM(F31:F32)</f>
        <v>1743.3810000000001</v>
      </c>
      <c r="G33" s="1176">
        <f>F33/E33%</f>
        <v>33.060023540874447</v>
      </c>
      <c r="H33" s="1176">
        <f t="shared" si="3"/>
        <v>3529.9999999999991</v>
      </c>
      <c r="I33" s="1176">
        <f>100-G33</f>
        <v>66.939976459125546</v>
      </c>
      <c r="J33" s="1176">
        <f>SUM(J31:J32)</f>
        <v>3527.19</v>
      </c>
      <c r="K33" s="1176">
        <f>J33/D33%</f>
        <v>4.4438478197026354</v>
      </c>
      <c r="L33" s="1176">
        <f>SUM(L31:L32)</f>
        <v>4530.5</v>
      </c>
    </row>
    <row r="34" spans="1:12">
      <c r="A34" s="1499" t="s">
        <v>241</v>
      </c>
      <c r="B34" s="1500"/>
      <c r="C34" s="1174">
        <v>30031</v>
      </c>
      <c r="D34" s="1176">
        <v>74831.19</v>
      </c>
      <c r="E34" s="1179">
        <v>5286.38</v>
      </c>
      <c r="F34" s="1180">
        <v>1733.78</v>
      </c>
      <c r="G34" s="1181">
        <v>32.799999999999997</v>
      </c>
      <c r="H34" s="1176">
        <v>3552.6</v>
      </c>
      <c r="I34" s="1176">
        <v>67.2</v>
      </c>
      <c r="J34" s="1176">
        <v>5800.18</v>
      </c>
      <c r="K34" s="1176">
        <v>7.75</v>
      </c>
      <c r="L34" s="1176">
        <v>2791.37</v>
      </c>
    </row>
  </sheetData>
  <mergeCells count="6">
    <mergeCell ref="A34:B34"/>
    <mergeCell ref="A1:L1"/>
    <mergeCell ref="A2:L2"/>
    <mergeCell ref="A3:L3"/>
    <mergeCell ref="A31:B31"/>
    <mergeCell ref="A33:B33"/>
  </mergeCells>
  <printOptions gridLines="1"/>
  <pageMargins left="0.7" right="0.7" top="0.75" bottom="0.75" header="0.3" footer="0.3"/>
  <pageSetup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sqref="A1:L1"/>
    </sheetView>
  </sheetViews>
  <sheetFormatPr defaultRowHeight="15"/>
  <sheetData>
    <row r="1" spans="1:12">
      <c r="A1" s="1494">
        <v>26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</row>
    <row r="2" spans="1:12" ht="15.75">
      <c r="A2" s="1506" t="s">
        <v>242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</row>
    <row r="3" spans="1:12" ht="15.75">
      <c r="A3" s="1507" t="str">
        <f>'[1]TOTAL PRIORITY'!A3</f>
        <v>As on 31.03.2018   (Rs In Lakhs)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</row>
    <row r="4" spans="1:12" ht="38.25">
      <c r="A4" s="173" t="s">
        <v>130</v>
      </c>
      <c r="B4" s="174" t="s">
        <v>131</v>
      </c>
      <c r="C4" s="220" t="s">
        <v>209</v>
      </c>
      <c r="D4" s="220" t="s">
        <v>210</v>
      </c>
      <c r="E4" s="220" t="s">
        <v>211</v>
      </c>
      <c r="F4" s="220" t="s">
        <v>212</v>
      </c>
      <c r="G4" s="220" t="s">
        <v>213</v>
      </c>
      <c r="H4" s="220" t="s">
        <v>214</v>
      </c>
      <c r="I4" s="220" t="s">
        <v>215</v>
      </c>
      <c r="J4" s="1182" t="s">
        <v>216</v>
      </c>
      <c r="K4" s="220" t="s">
        <v>217</v>
      </c>
      <c r="L4" s="220" t="s">
        <v>218</v>
      </c>
    </row>
    <row r="5" spans="1:12">
      <c r="A5" s="175">
        <v>1</v>
      </c>
      <c r="B5" s="221" t="s">
        <v>78</v>
      </c>
      <c r="C5" s="222">
        <v>6</v>
      </c>
      <c r="D5" s="176">
        <v>1525</v>
      </c>
      <c r="E5" s="177">
        <v>22</v>
      </c>
      <c r="F5" s="177">
        <v>22</v>
      </c>
      <c r="G5" s="223">
        <f>F5/E5%</f>
        <v>100</v>
      </c>
      <c r="H5" s="224">
        <f>E5-F5</f>
        <v>0</v>
      </c>
      <c r="I5" s="782">
        <f>H5/E5%</f>
        <v>0</v>
      </c>
      <c r="J5" s="303">
        <v>3.42</v>
      </c>
      <c r="K5" s="756">
        <f>J5/D5%</f>
        <v>0.22426229508196721</v>
      </c>
      <c r="L5" s="773">
        <v>0</v>
      </c>
    </row>
    <row r="6" spans="1:12">
      <c r="A6" s="449">
        <v>2</v>
      </c>
      <c r="B6" s="451" t="s">
        <v>27</v>
      </c>
      <c r="C6" s="451">
        <v>47</v>
      </c>
      <c r="D6" s="455">
        <v>1733.06</v>
      </c>
      <c r="E6" s="453">
        <v>238.82</v>
      </c>
      <c r="F6" s="453">
        <v>237.72</v>
      </c>
      <c r="G6" s="456">
        <f>F6/E6%</f>
        <v>99.539402060128978</v>
      </c>
      <c r="H6" s="454">
        <f>E6-F6</f>
        <v>1.0999999999999943</v>
      </c>
      <c r="I6" s="760">
        <f>H6/E6%</f>
        <v>0.4605979398710302</v>
      </c>
      <c r="J6" s="761">
        <v>20.68</v>
      </c>
      <c r="K6" s="452">
        <f>J6/D6%</f>
        <v>1.1932650918029382</v>
      </c>
      <c r="L6" s="1128">
        <v>46.1</v>
      </c>
    </row>
    <row r="7" spans="1:12">
      <c r="A7" s="751">
        <v>3</v>
      </c>
      <c r="B7" s="221" t="s">
        <v>46</v>
      </c>
      <c r="C7" s="221">
        <v>39</v>
      </c>
      <c r="D7" s="756">
        <v>16.8</v>
      </c>
      <c r="E7" s="224">
        <v>11</v>
      </c>
      <c r="F7" s="224">
        <v>0</v>
      </c>
      <c r="G7" s="223">
        <f t="shared" ref="G7:G24" si="0">F7/E7%</f>
        <v>0</v>
      </c>
      <c r="H7" s="224">
        <f>E7-F7</f>
        <v>11</v>
      </c>
      <c r="I7" s="782">
        <f>H7/E7%</f>
        <v>100</v>
      </c>
      <c r="J7" s="303">
        <v>3</v>
      </c>
      <c r="K7" s="756">
        <f t="shared" ref="K7:K30" si="1">J7/D7%</f>
        <v>17.857142857142858</v>
      </c>
      <c r="L7" s="783">
        <v>0</v>
      </c>
    </row>
    <row r="8" spans="1:12">
      <c r="A8" s="751">
        <v>4</v>
      </c>
      <c r="B8" s="221" t="s">
        <v>32</v>
      </c>
      <c r="C8" s="221">
        <v>1</v>
      </c>
      <c r="D8" s="756">
        <v>1.81</v>
      </c>
      <c r="E8" s="224">
        <v>0</v>
      </c>
      <c r="F8" s="224">
        <v>0</v>
      </c>
      <c r="G8" s="223">
        <v>0</v>
      </c>
      <c r="H8" s="224">
        <f t="shared" ref="H8:H30" si="2">E8-F8</f>
        <v>0</v>
      </c>
      <c r="I8" s="782">
        <v>0</v>
      </c>
      <c r="J8" s="303">
        <v>0</v>
      </c>
      <c r="K8" s="756">
        <f t="shared" si="1"/>
        <v>0</v>
      </c>
      <c r="L8" s="783">
        <v>1.81</v>
      </c>
    </row>
    <row r="9" spans="1:12">
      <c r="A9" s="751">
        <v>5</v>
      </c>
      <c r="B9" s="221" t="s">
        <v>83</v>
      </c>
      <c r="C9" s="221">
        <v>3</v>
      </c>
      <c r="D9" s="756">
        <v>25.7</v>
      </c>
      <c r="E9" s="224">
        <v>5.47</v>
      </c>
      <c r="F9" s="224">
        <v>0</v>
      </c>
      <c r="G9" s="223">
        <v>0</v>
      </c>
      <c r="H9" s="224">
        <v>0</v>
      </c>
      <c r="I9" s="782">
        <v>0</v>
      </c>
      <c r="J9" s="766">
        <v>0</v>
      </c>
      <c r="K9" s="756">
        <v>0</v>
      </c>
      <c r="L9" s="783">
        <v>20</v>
      </c>
    </row>
    <row r="10" spans="1:12">
      <c r="A10" s="751">
        <v>6</v>
      </c>
      <c r="B10" s="221" t="s">
        <v>85</v>
      </c>
      <c r="C10" s="221">
        <v>39</v>
      </c>
      <c r="D10" s="756">
        <v>486.47</v>
      </c>
      <c r="E10" s="224">
        <v>3.7</v>
      </c>
      <c r="F10" s="224">
        <v>1.57</v>
      </c>
      <c r="G10" s="223">
        <f t="shared" si="0"/>
        <v>42.432432432432428</v>
      </c>
      <c r="H10" s="224">
        <f t="shared" si="2"/>
        <v>2.13</v>
      </c>
      <c r="I10" s="782">
        <f>H10/E10%</f>
        <v>57.567567567567558</v>
      </c>
      <c r="J10" s="327">
        <v>0</v>
      </c>
      <c r="K10" s="756">
        <f t="shared" si="1"/>
        <v>0</v>
      </c>
      <c r="L10" s="783">
        <v>0</v>
      </c>
    </row>
    <row r="11" spans="1:12">
      <c r="A11" s="449">
        <v>7</v>
      </c>
      <c r="B11" s="451" t="s">
        <v>17</v>
      </c>
      <c r="C11" s="451">
        <v>153</v>
      </c>
      <c r="D11" s="452">
        <v>399.42</v>
      </c>
      <c r="E11" s="454">
        <v>33.9</v>
      </c>
      <c r="F11" s="454">
        <v>15.05</v>
      </c>
      <c r="G11" s="456">
        <f t="shared" si="0"/>
        <v>44.39528023598821</v>
      </c>
      <c r="H11" s="454">
        <f t="shared" si="2"/>
        <v>18.849999999999998</v>
      </c>
      <c r="I11" s="760">
        <f>H11/E11%</f>
        <v>55.604719764011797</v>
      </c>
      <c r="J11" s="761">
        <v>25.6</v>
      </c>
      <c r="K11" s="452">
        <f t="shared" si="1"/>
        <v>6.4092934755395321</v>
      </c>
      <c r="L11" s="762">
        <v>0</v>
      </c>
    </row>
    <row r="12" spans="1:12">
      <c r="A12" s="751">
        <v>8</v>
      </c>
      <c r="B12" s="221" t="s">
        <v>26</v>
      </c>
      <c r="C12" s="221">
        <v>114</v>
      </c>
      <c r="D12" s="756">
        <v>743.39</v>
      </c>
      <c r="E12" s="224">
        <v>42.26</v>
      </c>
      <c r="F12" s="224">
        <v>38.03</v>
      </c>
      <c r="G12" s="223">
        <f>F12/E12%</f>
        <v>89.990534784666366</v>
      </c>
      <c r="H12" s="224">
        <f>E12-F12</f>
        <v>4.2299999999999969</v>
      </c>
      <c r="I12" s="782">
        <f>H12/E12%</f>
        <v>10.009465215333641</v>
      </c>
      <c r="J12" s="303">
        <v>39.26</v>
      </c>
      <c r="K12" s="756">
        <f t="shared" si="1"/>
        <v>5.2812117461897525</v>
      </c>
      <c r="L12" s="783">
        <v>350.3</v>
      </c>
    </row>
    <row r="13" spans="1:12">
      <c r="A13" s="751">
        <v>9</v>
      </c>
      <c r="B13" s="221" t="s">
        <v>11</v>
      </c>
      <c r="C13" s="221">
        <v>21</v>
      </c>
      <c r="D13" s="756">
        <v>179.9</v>
      </c>
      <c r="E13" s="224">
        <v>0</v>
      </c>
      <c r="F13" s="224">
        <v>0</v>
      </c>
      <c r="G13" s="223">
        <v>0</v>
      </c>
      <c r="H13" s="224">
        <f>E13-F13</f>
        <v>0</v>
      </c>
      <c r="I13" s="782">
        <v>0</v>
      </c>
      <c r="J13" s="766">
        <v>0</v>
      </c>
      <c r="K13" s="756">
        <v>0</v>
      </c>
      <c r="L13" s="783">
        <v>131.53</v>
      </c>
    </row>
    <row r="14" spans="1:12">
      <c r="A14" s="751">
        <v>10</v>
      </c>
      <c r="B14" s="221" t="s">
        <v>90</v>
      </c>
      <c r="C14" s="221">
        <v>0</v>
      </c>
      <c r="D14" s="756">
        <v>0</v>
      </c>
      <c r="E14" s="224">
        <v>0</v>
      </c>
      <c r="F14" s="224">
        <v>0</v>
      </c>
      <c r="G14" s="223">
        <v>0</v>
      </c>
      <c r="H14" s="224">
        <v>0</v>
      </c>
      <c r="I14" s="782">
        <v>0</v>
      </c>
      <c r="J14" s="303">
        <v>0</v>
      </c>
      <c r="K14" s="756">
        <v>0</v>
      </c>
      <c r="L14" s="783">
        <v>0</v>
      </c>
    </row>
    <row r="15" spans="1:12">
      <c r="A15" s="449">
        <v>11</v>
      </c>
      <c r="B15" s="451" t="s">
        <v>92</v>
      </c>
      <c r="C15" s="451">
        <v>52</v>
      </c>
      <c r="D15" s="452">
        <v>224</v>
      </c>
      <c r="E15" s="454">
        <v>8.93</v>
      </c>
      <c r="F15" s="454">
        <v>0</v>
      </c>
      <c r="G15" s="456">
        <f t="shared" si="0"/>
        <v>0</v>
      </c>
      <c r="H15" s="454">
        <f t="shared" si="2"/>
        <v>8.93</v>
      </c>
      <c r="I15" s="760">
        <f>H15/E15%</f>
        <v>100.00000000000001</v>
      </c>
      <c r="J15" s="715">
        <v>0</v>
      </c>
      <c r="K15" s="452">
        <f t="shared" si="1"/>
        <v>0</v>
      </c>
      <c r="L15" s="762">
        <v>70.77</v>
      </c>
    </row>
    <row r="16" spans="1:12">
      <c r="A16" s="751">
        <v>12</v>
      </c>
      <c r="B16" s="221" t="s">
        <v>51</v>
      </c>
      <c r="C16" s="221">
        <v>6</v>
      </c>
      <c r="D16" s="756">
        <v>30.78</v>
      </c>
      <c r="E16" s="224">
        <v>7</v>
      </c>
      <c r="F16" s="224">
        <v>0.06</v>
      </c>
      <c r="G16" s="223">
        <f t="shared" si="0"/>
        <v>0.85714285714285698</v>
      </c>
      <c r="H16" s="224">
        <f t="shared" si="2"/>
        <v>6.94</v>
      </c>
      <c r="I16" s="782">
        <f>H16/E16%</f>
        <v>99.142857142857139</v>
      </c>
      <c r="J16" s="303">
        <v>0</v>
      </c>
      <c r="K16" s="756">
        <f t="shared" si="1"/>
        <v>0</v>
      </c>
      <c r="L16" s="783">
        <v>12.21</v>
      </c>
    </row>
    <row r="17" spans="1:12">
      <c r="A17" s="751">
        <v>13</v>
      </c>
      <c r="B17" s="221" t="s">
        <v>52</v>
      </c>
      <c r="C17" s="221">
        <v>6</v>
      </c>
      <c r="D17" s="756">
        <v>16.13</v>
      </c>
      <c r="E17" s="224">
        <v>4</v>
      </c>
      <c r="F17" s="224">
        <v>0</v>
      </c>
      <c r="G17" s="223">
        <v>0</v>
      </c>
      <c r="H17" s="224">
        <f t="shared" si="2"/>
        <v>4</v>
      </c>
      <c r="I17" s="782">
        <v>0</v>
      </c>
      <c r="J17" s="303">
        <v>0</v>
      </c>
      <c r="K17" s="756">
        <f>J17/D17%</f>
        <v>0</v>
      </c>
      <c r="L17" s="783">
        <v>6.75</v>
      </c>
    </row>
    <row r="18" spans="1:12">
      <c r="A18" s="449">
        <v>14</v>
      </c>
      <c r="B18" s="451" t="s">
        <v>28</v>
      </c>
      <c r="C18" s="451">
        <v>0</v>
      </c>
      <c r="D18" s="452">
        <v>0</v>
      </c>
      <c r="E18" s="454">
        <v>0</v>
      </c>
      <c r="F18" s="454">
        <v>0</v>
      </c>
      <c r="G18" s="456">
        <v>0</v>
      </c>
      <c r="H18" s="454">
        <f t="shared" si="2"/>
        <v>0</v>
      </c>
      <c r="I18" s="760">
        <v>0</v>
      </c>
      <c r="J18" s="761">
        <v>0</v>
      </c>
      <c r="K18" s="452">
        <v>0</v>
      </c>
      <c r="L18" s="762">
        <v>49</v>
      </c>
    </row>
    <row r="19" spans="1:12">
      <c r="A19" s="449">
        <v>15</v>
      </c>
      <c r="B19" s="451" t="s">
        <v>10</v>
      </c>
      <c r="C19" s="451">
        <v>1079</v>
      </c>
      <c r="D19" s="452">
        <v>5041.3999999999996</v>
      </c>
      <c r="E19" s="454">
        <v>690</v>
      </c>
      <c r="F19" s="454">
        <v>290</v>
      </c>
      <c r="G19" s="456">
        <f t="shared" si="0"/>
        <v>42.028985507246375</v>
      </c>
      <c r="H19" s="454">
        <f t="shared" si="2"/>
        <v>400</v>
      </c>
      <c r="I19" s="760">
        <f>H19/E19%</f>
        <v>57.971014492753618</v>
      </c>
      <c r="J19" s="1183">
        <v>1194</v>
      </c>
      <c r="K19" s="452">
        <f t="shared" si="1"/>
        <v>23.683897330106721</v>
      </c>
      <c r="L19" s="762">
        <v>524.44000000000005</v>
      </c>
    </row>
    <row r="20" spans="1:12">
      <c r="A20" s="751">
        <v>16</v>
      </c>
      <c r="B20" s="221" t="s">
        <v>98</v>
      </c>
      <c r="C20" s="221">
        <v>0</v>
      </c>
      <c r="D20" s="756">
        <v>0</v>
      </c>
      <c r="E20" s="224">
        <v>0</v>
      </c>
      <c r="F20" s="224">
        <v>0</v>
      </c>
      <c r="G20" s="223">
        <v>0</v>
      </c>
      <c r="H20" s="224">
        <v>0</v>
      </c>
      <c r="I20" s="782">
        <v>0</v>
      </c>
      <c r="J20" s="303">
        <v>0</v>
      </c>
      <c r="K20" s="756">
        <v>0</v>
      </c>
      <c r="L20" s="783">
        <v>0</v>
      </c>
    </row>
    <row r="21" spans="1:12">
      <c r="A21" s="751">
        <v>17</v>
      </c>
      <c r="B21" s="221" t="s">
        <v>35</v>
      </c>
      <c r="C21" s="221">
        <v>82</v>
      </c>
      <c r="D21" s="756">
        <v>260</v>
      </c>
      <c r="E21" s="224">
        <v>111.18</v>
      </c>
      <c r="F21" s="224">
        <v>8.6</v>
      </c>
      <c r="G21" s="223">
        <f t="shared" si="0"/>
        <v>7.735204173412483</v>
      </c>
      <c r="H21" s="224">
        <f t="shared" si="2"/>
        <v>102.58000000000001</v>
      </c>
      <c r="I21" s="782">
        <f>H21/E21%</f>
        <v>92.264795826587516</v>
      </c>
      <c r="J21" s="303">
        <v>7.35</v>
      </c>
      <c r="K21" s="756">
        <f>J21/D21%</f>
        <v>2.8269230769230766</v>
      </c>
      <c r="L21" s="783">
        <v>0</v>
      </c>
    </row>
    <row r="22" spans="1:12">
      <c r="A22" s="449">
        <v>18</v>
      </c>
      <c r="B22" s="451" t="s">
        <v>54</v>
      </c>
      <c r="C22" s="451">
        <v>12</v>
      </c>
      <c r="D22" s="452">
        <v>519.63</v>
      </c>
      <c r="E22" s="454">
        <v>0</v>
      </c>
      <c r="F22" s="454">
        <v>0</v>
      </c>
      <c r="G22" s="456">
        <v>0</v>
      </c>
      <c r="H22" s="454">
        <f t="shared" si="2"/>
        <v>0</v>
      </c>
      <c r="I22" s="760">
        <v>0</v>
      </c>
      <c r="J22" s="761">
        <v>0</v>
      </c>
      <c r="K22" s="452">
        <f t="shared" si="1"/>
        <v>0</v>
      </c>
      <c r="L22" s="762">
        <v>35</v>
      </c>
    </row>
    <row r="23" spans="1:12">
      <c r="A23" s="449">
        <v>19</v>
      </c>
      <c r="B23" s="451" t="s">
        <v>102</v>
      </c>
      <c r="C23" s="451">
        <v>83</v>
      </c>
      <c r="D23" s="452">
        <v>218.6</v>
      </c>
      <c r="E23" s="454">
        <v>68.47</v>
      </c>
      <c r="F23" s="454">
        <v>3.7</v>
      </c>
      <c r="G23" s="456">
        <f t="shared" si="0"/>
        <v>5.403826493354754</v>
      </c>
      <c r="H23" s="454">
        <f t="shared" si="2"/>
        <v>64.77</v>
      </c>
      <c r="I23" s="760">
        <f>H23/E23%</f>
        <v>94.596173506645243</v>
      </c>
      <c r="J23" s="165">
        <v>27.89</v>
      </c>
      <c r="K23" s="452">
        <f t="shared" si="1"/>
        <v>12.75846294602013</v>
      </c>
      <c r="L23" s="762">
        <v>60.47</v>
      </c>
    </row>
    <row r="24" spans="1:12">
      <c r="A24" s="751">
        <v>20</v>
      </c>
      <c r="B24" s="221" t="s">
        <v>104</v>
      </c>
      <c r="C24" s="1184">
        <v>220</v>
      </c>
      <c r="D24" s="225">
        <v>2305.37</v>
      </c>
      <c r="E24" s="1185">
        <v>361.36</v>
      </c>
      <c r="F24" s="1185">
        <v>106.57</v>
      </c>
      <c r="G24" s="223">
        <f t="shared" si="0"/>
        <v>29.491365950852334</v>
      </c>
      <c r="H24" s="224">
        <f t="shared" si="2"/>
        <v>254.79000000000002</v>
      </c>
      <c r="I24" s="782">
        <f>H24/E24%</f>
        <v>70.508634049147673</v>
      </c>
      <c r="J24" s="303">
        <v>156.30000000000001</v>
      </c>
      <c r="K24" s="756">
        <f t="shared" si="1"/>
        <v>6.7798227616391307</v>
      </c>
      <c r="L24" s="1186">
        <v>831.23</v>
      </c>
    </row>
    <row r="25" spans="1:12">
      <c r="A25" s="1187">
        <v>21</v>
      </c>
      <c r="B25" s="1188" t="s">
        <v>106</v>
      </c>
      <c r="C25" s="1189">
        <v>0</v>
      </c>
      <c r="D25" s="1190">
        <v>0</v>
      </c>
      <c r="E25" s="1185">
        <v>0</v>
      </c>
      <c r="F25" s="1190">
        <v>0</v>
      </c>
      <c r="G25" s="1191">
        <v>0</v>
      </c>
      <c r="H25" s="224">
        <f t="shared" si="2"/>
        <v>0</v>
      </c>
      <c r="I25" s="782">
        <v>0</v>
      </c>
      <c r="J25" s="766">
        <v>0</v>
      </c>
      <c r="K25" s="756">
        <v>0</v>
      </c>
      <c r="L25" s="1192">
        <v>0</v>
      </c>
    </row>
    <row r="26" spans="1:12" ht="26.25">
      <c r="A26" s="1193">
        <v>22</v>
      </c>
      <c r="B26" s="1194" t="s">
        <v>75</v>
      </c>
      <c r="C26" s="1194">
        <v>0</v>
      </c>
      <c r="D26" s="1195">
        <v>0</v>
      </c>
      <c r="E26" s="1195">
        <v>0</v>
      </c>
      <c r="F26" s="1195">
        <v>0</v>
      </c>
      <c r="G26" s="1196">
        <v>0</v>
      </c>
      <c r="H26" s="756">
        <v>0</v>
      </c>
      <c r="I26" s="782">
        <v>0</v>
      </c>
      <c r="J26" s="766">
        <v>0</v>
      </c>
      <c r="K26" s="1197">
        <v>0</v>
      </c>
      <c r="L26" s="1192">
        <v>0</v>
      </c>
    </row>
    <row r="27" spans="1:12" ht="26.25">
      <c r="A27" s="1193">
        <v>23</v>
      </c>
      <c r="B27" s="1194" t="s">
        <v>59</v>
      </c>
      <c r="C27" s="1194">
        <v>0</v>
      </c>
      <c r="D27" s="1195">
        <v>0</v>
      </c>
      <c r="E27" s="1195">
        <v>0</v>
      </c>
      <c r="F27" s="1195">
        <v>0</v>
      </c>
      <c r="G27" s="1196">
        <v>0</v>
      </c>
      <c r="H27" s="756">
        <v>0</v>
      </c>
      <c r="I27" s="782">
        <v>0</v>
      </c>
      <c r="J27" s="303">
        <v>0</v>
      </c>
      <c r="K27" s="1197">
        <v>0</v>
      </c>
      <c r="L27" s="1192">
        <v>0</v>
      </c>
    </row>
    <row r="28" spans="1:12">
      <c r="A28" s="1491" t="s">
        <v>205</v>
      </c>
      <c r="B28" s="1491" t="s">
        <v>13</v>
      </c>
      <c r="C28" s="1147">
        <f>SUM(C5:C27)</f>
        <v>1963</v>
      </c>
      <c r="D28" s="1154">
        <f>SUM(D5:D27)</f>
        <v>13727.46</v>
      </c>
      <c r="E28" s="1154">
        <f>SUM(E5:E27)</f>
        <v>1608.0900000000001</v>
      </c>
      <c r="F28" s="1147">
        <f>SUM(F5:F27)</f>
        <v>723.30000000000018</v>
      </c>
      <c r="G28" s="1154">
        <f t="shared" ref="G28:G33" si="3">F28/E28%</f>
        <v>44.978825811988145</v>
      </c>
      <c r="H28" s="756">
        <f t="shared" si="2"/>
        <v>884.79</v>
      </c>
      <c r="I28" s="223">
        <f>H28/E28%</f>
        <v>55.021174188011862</v>
      </c>
      <c r="J28" s="833">
        <f>SUM(J5:J27)</f>
        <v>1477.5</v>
      </c>
      <c r="K28" s="1198">
        <f t="shared" si="1"/>
        <v>10.763098198792786</v>
      </c>
      <c r="L28" s="1199">
        <f>SUM(L5:L27)</f>
        <v>2139.61</v>
      </c>
    </row>
    <row r="29" spans="1:12">
      <c r="A29" s="175">
        <v>1</v>
      </c>
      <c r="B29" s="222" t="s">
        <v>16</v>
      </c>
      <c r="C29" s="222">
        <v>12</v>
      </c>
      <c r="D29" s="176">
        <v>251.36</v>
      </c>
      <c r="E29" s="177">
        <v>60.05</v>
      </c>
      <c r="F29" s="177">
        <v>20.12</v>
      </c>
      <c r="G29" s="177">
        <f t="shared" si="3"/>
        <v>33.505412156536224</v>
      </c>
      <c r="H29" s="224">
        <f t="shared" si="2"/>
        <v>39.929999999999993</v>
      </c>
      <c r="I29" s="177">
        <f>H29/E29%</f>
        <v>66.494587843463776</v>
      </c>
      <c r="J29" s="177">
        <v>2.87</v>
      </c>
      <c r="K29" s="224">
        <f t="shared" si="1"/>
        <v>1.1417886696371737</v>
      </c>
      <c r="L29" s="774">
        <v>215</v>
      </c>
    </row>
    <row r="30" spans="1:12">
      <c r="A30" s="751">
        <v>1</v>
      </c>
      <c r="B30" s="221" t="s">
        <v>110</v>
      </c>
      <c r="C30" s="221">
        <v>37</v>
      </c>
      <c r="D30" s="756">
        <v>328.59</v>
      </c>
      <c r="E30" s="224">
        <v>148.69999999999999</v>
      </c>
      <c r="F30" s="224">
        <v>13.6</v>
      </c>
      <c r="G30" s="224">
        <f t="shared" si="3"/>
        <v>9.1459314055144585</v>
      </c>
      <c r="H30" s="224">
        <f t="shared" si="2"/>
        <v>135.1</v>
      </c>
      <c r="I30" s="224">
        <f>H30/E30%</f>
        <v>90.85406859448554</v>
      </c>
      <c r="J30" s="224">
        <v>130</v>
      </c>
      <c r="K30" s="224">
        <f t="shared" si="1"/>
        <v>39.562981222800452</v>
      </c>
      <c r="L30" s="783">
        <v>4.5</v>
      </c>
    </row>
    <row r="31" spans="1:12">
      <c r="A31" s="1508" t="s">
        <v>188</v>
      </c>
      <c r="B31" s="1508"/>
      <c r="C31" s="829">
        <f>SUM(C28:C30)</f>
        <v>2012</v>
      </c>
      <c r="D31" s="829">
        <f>SUM(D28:D30)</f>
        <v>14307.41</v>
      </c>
      <c r="E31" s="829">
        <f>SUM(E28:E30)</f>
        <v>1816.8400000000001</v>
      </c>
      <c r="F31" s="829">
        <f>SUM(F28:F30)</f>
        <v>757.02000000000021</v>
      </c>
      <c r="G31" s="833">
        <f t="shared" si="3"/>
        <v>41.666850135399933</v>
      </c>
      <c r="H31" s="829">
        <f>SUM(H28:H30)</f>
        <v>1059.82</v>
      </c>
      <c r="I31" s="833">
        <f>H31/E31%</f>
        <v>58.333149864600067</v>
      </c>
      <c r="J31" s="1135">
        <f>SUM(J28:J30)</f>
        <v>1610.37</v>
      </c>
      <c r="K31" s="833">
        <f>J31/D31%</f>
        <v>11.255496277802902</v>
      </c>
      <c r="L31" s="1200">
        <f>SUM(L28:L30)</f>
        <v>2359.11</v>
      </c>
    </row>
    <row r="32" spans="1:12">
      <c r="A32" s="175">
        <v>1</v>
      </c>
      <c r="B32" s="1201" t="s">
        <v>117</v>
      </c>
      <c r="C32" s="222">
        <v>174</v>
      </c>
      <c r="D32" s="176">
        <v>1697.02</v>
      </c>
      <c r="E32" s="177">
        <v>0</v>
      </c>
      <c r="F32" s="177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</row>
    <row r="33" spans="1:12">
      <c r="A33" s="1508" t="s">
        <v>206</v>
      </c>
      <c r="B33" s="1508"/>
      <c r="C33" s="829">
        <f>SUM(C31:C32)</f>
        <v>2186</v>
      </c>
      <c r="D33" s="1135">
        <f>SUM(D31:D32)</f>
        <v>16004.43</v>
      </c>
      <c r="E33" s="1135">
        <f>SUM(E31:E32)</f>
        <v>1816.8400000000001</v>
      </c>
      <c r="F33" s="1135">
        <f>SUM(F31:F32)</f>
        <v>757.02000000000021</v>
      </c>
      <c r="G33" s="833">
        <f t="shared" si="3"/>
        <v>41.666850135399933</v>
      </c>
      <c r="H33" s="1135">
        <f>SUM(H31:H32)</f>
        <v>1059.82</v>
      </c>
      <c r="I33" s="1135">
        <f>H33/E33%</f>
        <v>58.333149864600067</v>
      </c>
      <c r="J33" s="1135">
        <f>SUM(J31:J32)</f>
        <v>1610.37</v>
      </c>
      <c r="K33" s="1135">
        <f>J33/D33%</f>
        <v>10.062026576391661</v>
      </c>
      <c r="L33" s="1135">
        <f>SUM(L31:L32)</f>
        <v>2359.11</v>
      </c>
    </row>
    <row r="34" spans="1:12">
      <c r="A34" s="222"/>
      <c r="B34" s="1201"/>
      <c r="C34" s="1505" t="s">
        <v>136</v>
      </c>
      <c r="D34" s="1505"/>
      <c r="E34" s="5"/>
      <c r="F34" s="5"/>
      <c r="G34" s="5"/>
      <c r="H34" s="5"/>
      <c r="I34" s="5"/>
      <c r="J34" s="5"/>
      <c r="K34" s="5"/>
      <c r="L34" s="1202"/>
    </row>
    <row r="35" spans="1:12">
      <c r="A35" s="829"/>
      <c r="B35" s="1201" t="s">
        <v>13</v>
      </c>
      <c r="C35" s="222">
        <v>2177</v>
      </c>
      <c r="D35" s="177">
        <v>15166.45</v>
      </c>
      <c r="E35" s="756">
        <v>1816.84</v>
      </c>
      <c r="F35" s="224">
        <v>757.02</v>
      </c>
      <c r="G35" s="224">
        <v>41.67</v>
      </c>
      <c r="H35" s="224">
        <v>1059.82</v>
      </c>
      <c r="I35" s="224">
        <v>58.33</v>
      </c>
      <c r="J35" s="224">
        <v>1969.02</v>
      </c>
      <c r="K35" s="224">
        <v>12.98</v>
      </c>
      <c r="L35" s="756">
        <v>1895.69</v>
      </c>
    </row>
  </sheetData>
  <mergeCells count="7">
    <mergeCell ref="C34:D34"/>
    <mergeCell ref="A1:L1"/>
    <mergeCell ref="A2:L2"/>
    <mergeCell ref="A3:L3"/>
    <mergeCell ref="A28:B28"/>
    <mergeCell ref="A31:B31"/>
    <mergeCell ref="A33:B33"/>
  </mergeCells>
  <printOptions gridLines="1"/>
  <pageMargins left="0.7" right="0.7" top="0.75" bottom="0.75" header="0.3" footer="0.3"/>
  <pageSetup paperSize="9"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1"/>
    </sheetView>
  </sheetViews>
  <sheetFormatPr defaultRowHeight="15"/>
  <sheetData>
    <row r="1" spans="1:12" ht="15.75">
      <c r="A1" s="1510">
        <v>27</v>
      </c>
      <c r="B1" s="1510"/>
      <c r="C1" s="1510"/>
      <c r="D1" s="1510"/>
      <c r="E1" s="1510"/>
      <c r="F1" s="1510"/>
      <c r="G1" s="1510"/>
      <c r="H1" s="1510"/>
      <c r="I1" s="1510"/>
      <c r="J1" s="1510"/>
      <c r="K1" s="1510"/>
      <c r="L1" s="1510"/>
    </row>
    <row r="2" spans="1:12" ht="15.75">
      <c r="A2" s="1506" t="s">
        <v>610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</row>
    <row r="3" spans="1:12" ht="15.75">
      <c r="A3" s="1507" t="s">
        <v>611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</row>
    <row r="4" spans="1:12" ht="38.25">
      <c r="A4" s="173" t="s">
        <v>130</v>
      </c>
      <c r="B4" s="174" t="s">
        <v>131</v>
      </c>
      <c r="C4" s="173" t="s">
        <v>209</v>
      </c>
      <c r="D4" s="173" t="s">
        <v>210</v>
      </c>
      <c r="E4" s="173" t="s">
        <v>211</v>
      </c>
      <c r="F4" s="173" t="s">
        <v>212</v>
      </c>
      <c r="G4" s="173" t="s">
        <v>213</v>
      </c>
      <c r="H4" s="173" t="s">
        <v>214</v>
      </c>
      <c r="I4" s="173" t="s">
        <v>215</v>
      </c>
      <c r="J4" s="173" t="s">
        <v>216</v>
      </c>
      <c r="K4" s="173" t="s">
        <v>217</v>
      </c>
      <c r="L4" s="173" t="s">
        <v>218</v>
      </c>
    </row>
    <row r="5" spans="1:12">
      <c r="A5" s="175">
        <v>1</v>
      </c>
      <c r="B5" s="226" t="s">
        <v>78</v>
      </c>
      <c r="C5" s="222">
        <v>146</v>
      </c>
      <c r="D5" s="176">
        <v>3304.99</v>
      </c>
      <c r="E5" s="177">
        <v>359</v>
      </c>
      <c r="F5" s="177">
        <v>317</v>
      </c>
      <c r="G5" s="224">
        <f>F5/E5*100</f>
        <v>88.300835654596099</v>
      </c>
      <c r="H5" s="176">
        <f>E5-F5</f>
        <v>42</v>
      </c>
      <c r="I5" s="224">
        <f t="shared" ref="I5:I24" si="0">H5/E5%</f>
        <v>11.699164345403901</v>
      </c>
      <c r="J5" s="176">
        <v>276</v>
      </c>
      <c r="K5" s="224">
        <f t="shared" ref="K5:K25" si="1">J5/D5%</f>
        <v>8.3510086263498522</v>
      </c>
      <c r="L5" s="1203">
        <v>80</v>
      </c>
    </row>
    <row r="6" spans="1:12">
      <c r="A6" s="751">
        <v>2</v>
      </c>
      <c r="B6" s="784" t="s">
        <v>27</v>
      </c>
      <c r="C6" s="221">
        <v>13</v>
      </c>
      <c r="D6" s="176">
        <v>7.0000000000000007E-2</v>
      </c>
      <c r="E6" s="177">
        <v>0.65</v>
      </c>
      <c r="F6" s="177">
        <v>0.65</v>
      </c>
      <c r="G6" s="224">
        <f>F6/E6%</f>
        <v>100</v>
      </c>
      <c r="H6" s="176">
        <f>E6-F6</f>
        <v>0</v>
      </c>
      <c r="I6" s="224">
        <v>0</v>
      </c>
      <c r="J6" s="177">
        <v>0</v>
      </c>
      <c r="K6" s="224">
        <f t="shared" si="1"/>
        <v>0</v>
      </c>
      <c r="L6" s="1204">
        <v>80</v>
      </c>
    </row>
    <row r="7" spans="1:12">
      <c r="A7" s="751">
        <v>3</v>
      </c>
      <c r="B7" s="1205" t="s">
        <v>46</v>
      </c>
      <c r="C7" s="221">
        <v>145</v>
      </c>
      <c r="D7" s="756">
        <v>432.95</v>
      </c>
      <c r="E7" s="224">
        <v>182</v>
      </c>
      <c r="F7" s="224">
        <v>94.81</v>
      </c>
      <c r="G7" s="224">
        <f>F7/E7*100</f>
        <v>52.093406593406598</v>
      </c>
      <c r="H7" s="176">
        <f>E7-F7</f>
        <v>87.19</v>
      </c>
      <c r="I7" s="224">
        <f t="shared" si="0"/>
        <v>47.906593406593402</v>
      </c>
      <c r="J7" s="224">
        <v>73.099999999999994</v>
      </c>
      <c r="K7" s="224">
        <f t="shared" si="1"/>
        <v>16.884166762905647</v>
      </c>
      <c r="L7" s="785">
        <v>26.08</v>
      </c>
    </row>
    <row r="8" spans="1:12">
      <c r="A8" s="751">
        <v>4</v>
      </c>
      <c r="B8" s="1205" t="s">
        <v>32</v>
      </c>
      <c r="C8" s="221">
        <v>298</v>
      </c>
      <c r="D8" s="756">
        <v>3365.58</v>
      </c>
      <c r="E8" s="177">
        <v>1065.7</v>
      </c>
      <c r="F8" s="224">
        <v>515.25</v>
      </c>
      <c r="G8" s="224">
        <f>F8/E8*100</f>
        <v>48.348503331143853</v>
      </c>
      <c r="H8" s="176">
        <f>E8-F8</f>
        <v>550.45000000000005</v>
      </c>
      <c r="I8" s="224">
        <f t="shared" si="0"/>
        <v>51.651496668856154</v>
      </c>
      <c r="J8" s="224">
        <v>473.36</v>
      </c>
      <c r="K8" s="224">
        <f t="shared" si="1"/>
        <v>14.064737727226808</v>
      </c>
      <c r="L8" s="785">
        <v>45.01</v>
      </c>
    </row>
    <row r="9" spans="1:12">
      <c r="A9" s="771">
        <v>5</v>
      </c>
      <c r="B9" s="784" t="s">
        <v>83</v>
      </c>
      <c r="C9" s="221">
        <v>58</v>
      </c>
      <c r="D9" s="756">
        <v>413.77</v>
      </c>
      <c r="E9" s="177">
        <v>9.1300000000000008</v>
      </c>
      <c r="F9" s="224">
        <v>0</v>
      </c>
      <c r="G9" s="224">
        <f t="shared" ref="G9:G22" si="2">F9/E9*100</f>
        <v>0</v>
      </c>
      <c r="H9" s="176">
        <f t="shared" ref="H9:H25" si="3">E9-F9</f>
        <v>9.1300000000000008</v>
      </c>
      <c r="I9" s="224">
        <f t="shared" si="0"/>
        <v>100</v>
      </c>
      <c r="J9" s="224">
        <v>20.010000000000002</v>
      </c>
      <c r="K9" s="224">
        <f t="shared" si="1"/>
        <v>4.836020011117288</v>
      </c>
      <c r="L9" s="785">
        <v>61.3</v>
      </c>
    </row>
    <row r="10" spans="1:12">
      <c r="A10" s="751">
        <v>6</v>
      </c>
      <c r="B10" s="784" t="s">
        <v>85</v>
      </c>
      <c r="C10" s="221">
        <v>1248</v>
      </c>
      <c r="D10" s="756">
        <v>7411.48</v>
      </c>
      <c r="E10" s="224">
        <v>927.6</v>
      </c>
      <c r="F10" s="224">
        <v>219</v>
      </c>
      <c r="G10" s="224">
        <f t="shared" si="2"/>
        <v>23.609314359637771</v>
      </c>
      <c r="H10" s="176">
        <f t="shared" si="3"/>
        <v>708.6</v>
      </c>
      <c r="I10" s="224">
        <f>H10/E10%</f>
        <v>76.390685640362236</v>
      </c>
      <c r="J10" s="224">
        <v>2869.89</v>
      </c>
      <c r="K10" s="224">
        <f t="shared" si="1"/>
        <v>38.722225520408877</v>
      </c>
      <c r="L10" s="785">
        <v>635.64</v>
      </c>
    </row>
    <row r="11" spans="1:12">
      <c r="A11" s="449">
        <v>7</v>
      </c>
      <c r="B11" s="763" t="s">
        <v>17</v>
      </c>
      <c r="C11" s="451">
        <v>324</v>
      </c>
      <c r="D11" s="452">
        <v>1313.9</v>
      </c>
      <c r="E11" s="454">
        <v>196.2</v>
      </c>
      <c r="F11" s="454">
        <v>23.5</v>
      </c>
      <c r="G11" s="454">
        <f t="shared" si="2"/>
        <v>11.977573904179408</v>
      </c>
      <c r="H11" s="455">
        <f t="shared" si="3"/>
        <v>172.7</v>
      </c>
      <c r="I11" s="454">
        <f t="shared" si="0"/>
        <v>88.022426095820592</v>
      </c>
      <c r="J11" s="454">
        <v>141.94</v>
      </c>
      <c r="K11" s="454">
        <f t="shared" si="1"/>
        <v>10.802953040566251</v>
      </c>
      <c r="L11" s="764">
        <v>25.48</v>
      </c>
    </row>
    <row r="12" spans="1:12">
      <c r="A12" s="751">
        <v>8</v>
      </c>
      <c r="B12" s="1205" t="s">
        <v>26</v>
      </c>
      <c r="C12" s="221">
        <v>7</v>
      </c>
      <c r="D12" s="756">
        <v>28.44</v>
      </c>
      <c r="E12" s="177">
        <v>0.17</v>
      </c>
      <c r="F12" s="224">
        <v>0.12</v>
      </c>
      <c r="G12" s="224">
        <f>F12/E12*100</f>
        <v>70.588235294117638</v>
      </c>
      <c r="H12" s="176">
        <f>E12-F12</f>
        <v>5.0000000000000017E-2</v>
      </c>
      <c r="I12" s="224">
        <f>H12/E12%</f>
        <v>29.411764705882362</v>
      </c>
      <c r="J12" s="224">
        <v>0</v>
      </c>
      <c r="K12" s="224">
        <f t="shared" si="1"/>
        <v>0</v>
      </c>
      <c r="L12" s="1206">
        <v>11.84</v>
      </c>
    </row>
    <row r="13" spans="1:12">
      <c r="A13" s="771">
        <v>9</v>
      </c>
      <c r="B13" s="784" t="s">
        <v>11</v>
      </c>
      <c r="C13" s="221">
        <v>1</v>
      </c>
      <c r="D13" s="756">
        <v>0.26</v>
      </c>
      <c r="E13" s="453">
        <v>0</v>
      </c>
      <c r="F13" s="224">
        <v>0</v>
      </c>
      <c r="G13" s="224">
        <v>0</v>
      </c>
      <c r="H13" s="176">
        <v>0</v>
      </c>
      <c r="I13" s="224">
        <v>0</v>
      </c>
      <c r="J13" s="224">
        <v>0</v>
      </c>
      <c r="K13" s="224">
        <v>0</v>
      </c>
      <c r="L13" s="1204">
        <v>0</v>
      </c>
    </row>
    <row r="14" spans="1:12">
      <c r="A14" s="771">
        <v>10</v>
      </c>
      <c r="B14" s="784" t="s">
        <v>90</v>
      </c>
      <c r="C14" s="221">
        <v>163</v>
      </c>
      <c r="D14" s="756">
        <v>1734.78</v>
      </c>
      <c r="E14" s="177">
        <v>885.08</v>
      </c>
      <c r="F14" s="224">
        <v>0</v>
      </c>
      <c r="G14" s="224">
        <f t="shared" si="2"/>
        <v>0</v>
      </c>
      <c r="H14" s="176">
        <f t="shared" si="3"/>
        <v>885.08</v>
      </c>
      <c r="I14" s="224">
        <f t="shared" si="0"/>
        <v>100.00000000000001</v>
      </c>
      <c r="J14" s="224">
        <v>346.17</v>
      </c>
      <c r="K14" s="224">
        <f t="shared" si="1"/>
        <v>19.95469166119047</v>
      </c>
      <c r="L14" s="785">
        <v>25.2</v>
      </c>
    </row>
    <row r="15" spans="1:12">
      <c r="A15" s="449">
        <v>11</v>
      </c>
      <c r="B15" s="450" t="s">
        <v>92</v>
      </c>
      <c r="C15" s="451">
        <v>201</v>
      </c>
      <c r="D15" s="452">
        <v>4734.74</v>
      </c>
      <c r="E15" s="454">
        <v>100</v>
      </c>
      <c r="F15" s="454">
        <v>12.45</v>
      </c>
      <c r="G15" s="454">
        <v>2.4500000000000002</v>
      </c>
      <c r="H15" s="455">
        <f t="shared" si="3"/>
        <v>87.55</v>
      </c>
      <c r="I15" s="454">
        <f t="shared" si="0"/>
        <v>87.55</v>
      </c>
      <c r="J15" s="454">
        <v>115.76</v>
      </c>
      <c r="K15" s="454">
        <f t="shared" si="1"/>
        <v>2.4449072177141722</v>
      </c>
      <c r="L15" s="785">
        <v>1968.87</v>
      </c>
    </row>
    <row r="16" spans="1:12">
      <c r="A16" s="771">
        <v>12</v>
      </c>
      <c r="B16" s="784" t="s">
        <v>51</v>
      </c>
      <c r="C16" s="221">
        <v>25</v>
      </c>
      <c r="D16" s="756">
        <v>64.47</v>
      </c>
      <c r="E16" s="177">
        <v>1.94</v>
      </c>
      <c r="F16" s="224">
        <v>0.28000000000000003</v>
      </c>
      <c r="G16" s="224">
        <f t="shared" si="2"/>
        <v>14.432989690721651</v>
      </c>
      <c r="H16" s="176">
        <f t="shared" si="3"/>
        <v>1.66</v>
      </c>
      <c r="I16" s="224">
        <f>H16/E16%</f>
        <v>85.567010309278345</v>
      </c>
      <c r="J16" s="224">
        <v>12.68</v>
      </c>
      <c r="K16" s="224">
        <f t="shared" si="1"/>
        <v>19.668062664805337</v>
      </c>
      <c r="L16" s="785">
        <v>32</v>
      </c>
    </row>
    <row r="17" spans="1:12">
      <c r="A17" s="771">
        <v>13</v>
      </c>
      <c r="B17" s="784" t="s">
        <v>52</v>
      </c>
      <c r="C17" s="221">
        <v>36</v>
      </c>
      <c r="D17" s="756">
        <v>551.39</v>
      </c>
      <c r="E17" s="224">
        <v>4.5</v>
      </c>
      <c r="F17" s="224">
        <v>1.66</v>
      </c>
      <c r="G17" s="224">
        <f t="shared" si="2"/>
        <v>36.888888888888886</v>
      </c>
      <c r="H17" s="176">
        <f t="shared" si="3"/>
        <v>2.84</v>
      </c>
      <c r="I17" s="224">
        <f t="shared" si="0"/>
        <v>63.111111111111107</v>
      </c>
      <c r="J17" s="224">
        <v>4.93</v>
      </c>
      <c r="K17" s="224">
        <f t="shared" si="1"/>
        <v>0.89410399172999144</v>
      </c>
      <c r="L17" s="785">
        <v>36.75</v>
      </c>
    </row>
    <row r="18" spans="1:12">
      <c r="A18" s="751">
        <v>14</v>
      </c>
      <c r="B18" s="784" t="s">
        <v>28</v>
      </c>
      <c r="C18" s="221">
        <v>912</v>
      </c>
      <c r="D18" s="756">
        <v>4618.6400000000003</v>
      </c>
      <c r="E18" s="224">
        <v>375.5</v>
      </c>
      <c r="F18" s="224">
        <v>110.75</v>
      </c>
      <c r="G18" s="224">
        <f>F18/E18*100</f>
        <v>29.494007989347537</v>
      </c>
      <c r="H18" s="176">
        <f t="shared" si="3"/>
        <v>264.75</v>
      </c>
      <c r="I18" s="224">
        <f t="shared" si="0"/>
        <v>70.505992010652463</v>
      </c>
      <c r="J18" s="224">
        <v>449.27</v>
      </c>
      <c r="K18" s="224">
        <f t="shared" si="1"/>
        <v>9.7273223286508568</v>
      </c>
      <c r="L18" s="785">
        <v>49</v>
      </c>
    </row>
    <row r="19" spans="1:12">
      <c r="A19" s="1207">
        <v>15</v>
      </c>
      <c r="B19" s="1208" t="s">
        <v>10</v>
      </c>
      <c r="C19" s="451">
        <v>4189</v>
      </c>
      <c r="D19" s="452">
        <v>15136.32</v>
      </c>
      <c r="E19" s="454">
        <v>5991</v>
      </c>
      <c r="F19" s="454">
        <v>3690</v>
      </c>
      <c r="G19" s="454">
        <f t="shared" si="2"/>
        <v>61.592388582874314</v>
      </c>
      <c r="H19" s="455">
        <f t="shared" si="3"/>
        <v>2301</v>
      </c>
      <c r="I19" s="454">
        <f t="shared" si="0"/>
        <v>38.407611417125693</v>
      </c>
      <c r="J19" s="454">
        <v>4791.13</v>
      </c>
      <c r="K19" s="454">
        <f t="shared" si="1"/>
        <v>31.653202363586391</v>
      </c>
      <c r="L19" s="785">
        <v>3153.67</v>
      </c>
    </row>
    <row r="20" spans="1:12">
      <c r="A20" s="771">
        <v>16</v>
      </c>
      <c r="B20" s="784" t="s">
        <v>98</v>
      </c>
      <c r="C20" s="221">
        <v>215</v>
      </c>
      <c r="D20" s="756">
        <v>742.87</v>
      </c>
      <c r="E20" s="224">
        <v>159.66</v>
      </c>
      <c r="F20" s="224">
        <v>36.5</v>
      </c>
      <c r="G20" s="224">
        <f t="shared" si="2"/>
        <v>22.861079794563448</v>
      </c>
      <c r="H20" s="176">
        <f t="shared" si="3"/>
        <v>123.16</v>
      </c>
      <c r="I20" s="224">
        <f t="shared" si="0"/>
        <v>77.138920205436548</v>
      </c>
      <c r="J20" s="224">
        <v>100.75</v>
      </c>
      <c r="K20" s="224">
        <f t="shared" si="1"/>
        <v>13.562265268485737</v>
      </c>
      <c r="L20" s="785">
        <v>29.41</v>
      </c>
    </row>
    <row r="21" spans="1:12">
      <c r="A21" s="751">
        <v>17</v>
      </c>
      <c r="B21" s="784" t="s">
        <v>35</v>
      </c>
      <c r="C21" s="221">
        <v>731</v>
      </c>
      <c r="D21" s="756">
        <v>2216.0700000000002</v>
      </c>
      <c r="E21" s="224">
        <v>405.46</v>
      </c>
      <c r="F21" s="224">
        <v>131.66</v>
      </c>
      <c r="G21" s="224">
        <f t="shared" si="2"/>
        <v>32.471760469590095</v>
      </c>
      <c r="H21" s="176">
        <f t="shared" si="3"/>
        <v>273.79999999999995</v>
      </c>
      <c r="I21" s="224">
        <f t="shared" si="0"/>
        <v>67.528239530409891</v>
      </c>
      <c r="J21" s="224">
        <v>0</v>
      </c>
      <c r="K21" s="224">
        <f t="shared" si="1"/>
        <v>0</v>
      </c>
      <c r="L21" s="785">
        <v>149.03</v>
      </c>
    </row>
    <row r="22" spans="1:12">
      <c r="A22" s="1126">
        <v>18</v>
      </c>
      <c r="B22" s="763" t="s">
        <v>54</v>
      </c>
      <c r="C22" s="451">
        <v>576</v>
      </c>
      <c r="D22" s="452">
        <v>5531.51</v>
      </c>
      <c r="E22" s="454">
        <v>4208</v>
      </c>
      <c r="F22" s="454">
        <v>188</v>
      </c>
      <c r="G22" s="454">
        <f t="shared" si="2"/>
        <v>4.4676806083650193</v>
      </c>
      <c r="H22" s="455">
        <f t="shared" si="3"/>
        <v>4020</v>
      </c>
      <c r="I22" s="454">
        <f>H22/E22%</f>
        <v>95.532319391634985</v>
      </c>
      <c r="J22" s="454">
        <v>3716.86</v>
      </c>
      <c r="K22" s="454">
        <f t="shared" si="1"/>
        <v>67.194310414335334</v>
      </c>
      <c r="L22" s="785">
        <v>227</v>
      </c>
    </row>
    <row r="23" spans="1:12">
      <c r="A23" s="1126">
        <v>19</v>
      </c>
      <c r="B23" s="763" t="s">
        <v>102</v>
      </c>
      <c r="C23" s="451">
        <v>11</v>
      </c>
      <c r="D23" s="452">
        <v>21.89</v>
      </c>
      <c r="E23" s="454">
        <v>0.48</v>
      </c>
      <c r="F23" s="454">
        <v>1.55</v>
      </c>
      <c r="G23" s="454">
        <f>F23/E23*100</f>
        <v>322.91666666666669</v>
      </c>
      <c r="H23" s="455">
        <f t="shared" si="3"/>
        <v>-1.07</v>
      </c>
      <c r="I23" s="454">
        <f t="shared" si="0"/>
        <v>-222.91666666666669</v>
      </c>
      <c r="J23" s="454">
        <v>0</v>
      </c>
      <c r="K23" s="454">
        <f t="shared" si="1"/>
        <v>0</v>
      </c>
      <c r="L23" s="785">
        <v>16.75</v>
      </c>
    </row>
    <row r="24" spans="1:12">
      <c r="A24" s="751">
        <v>20</v>
      </c>
      <c r="B24" s="1205" t="s">
        <v>104</v>
      </c>
      <c r="C24" s="221">
        <v>1042</v>
      </c>
      <c r="D24" s="756">
        <v>9612.2099999999991</v>
      </c>
      <c r="E24" s="224">
        <v>1898.43</v>
      </c>
      <c r="F24" s="224">
        <v>984.43</v>
      </c>
      <c r="G24" s="224">
        <f>F24/E24*100</f>
        <v>51.854953830270269</v>
      </c>
      <c r="H24" s="176">
        <f t="shared" si="3"/>
        <v>914.00000000000011</v>
      </c>
      <c r="I24" s="224">
        <f t="shared" si="0"/>
        <v>48.145046169729724</v>
      </c>
      <c r="J24" s="224">
        <v>530.59</v>
      </c>
      <c r="K24" s="224">
        <f t="shared" si="1"/>
        <v>5.5199584694882873</v>
      </c>
      <c r="L24" s="785">
        <v>2631.94</v>
      </c>
    </row>
    <row r="25" spans="1:12">
      <c r="A25" s="771">
        <v>21</v>
      </c>
      <c r="B25" s="784" t="s">
        <v>106</v>
      </c>
      <c r="C25" s="221">
        <v>0</v>
      </c>
      <c r="D25" s="756">
        <v>9.9999999999999995E-8</v>
      </c>
      <c r="E25" s="224">
        <v>0</v>
      </c>
      <c r="F25" s="224">
        <v>0</v>
      </c>
      <c r="G25" s="224">
        <v>0</v>
      </c>
      <c r="H25" s="176">
        <f t="shared" si="3"/>
        <v>0</v>
      </c>
      <c r="I25" s="224">
        <v>0</v>
      </c>
      <c r="J25" s="224">
        <v>0</v>
      </c>
      <c r="K25" s="224">
        <f t="shared" si="1"/>
        <v>0</v>
      </c>
      <c r="L25" s="785">
        <v>0</v>
      </c>
    </row>
    <row r="26" spans="1:12" ht="26.25">
      <c r="A26" s="1119">
        <v>22</v>
      </c>
      <c r="B26" s="226" t="s">
        <v>75</v>
      </c>
      <c r="C26" s="222">
        <v>55</v>
      </c>
      <c r="D26" s="176">
        <v>529.51</v>
      </c>
      <c r="E26" s="176">
        <v>111.67</v>
      </c>
      <c r="F26" s="177">
        <v>111.67</v>
      </c>
      <c r="G26" s="176">
        <f>F26/E26%</f>
        <v>100</v>
      </c>
      <c r="H26" s="176">
        <f>E26-F26</f>
        <v>0</v>
      </c>
      <c r="I26" s="177">
        <f>H26/E26%</f>
        <v>0</v>
      </c>
      <c r="J26" s="176">
        <v>0</v>
      </c>
      <c r="K26" s="176">
        <f>J26/D26%</f>
        <v>0</v>
      </c>
      <c r="L26" s="1203">
        <v>247.7</v>
      </c>
    </row>
    <row r="27" spans="1:12" ht="26.25">
      <c r="A27" s="175">
        <v>23</v>
      </c>
      <c r="B27" s="226" t="s">
        <v>59</v>
      </c>
      <c r="C27" s="222">
        <v>0</v>
      </c>
      <c r="D27" s="176">
        <v>0</v>
      </c>
      <c r="E27" s="176">
        <v>0</v>
      </c>
      <c r="F27" s="177">
        <v>0</v>
      </c>
      <c r="G27" s="176">
        <v>0</v>
      </c>
      <c r="H27" s="176">
        <v>0</v>
      </c>
      <c r="I27" s="177">
        <v>0</v>
      </c>
      <c r="J27" s="176">
        <v>0</v>
      </c>
      <c r="K27" s="176">
        <v>0</v>
      </c>
      <c r="L27" s="1203">
        <v>0</v>
      </c>
    </row>
    <row r="28" spans="1:12">
      <c r="A28" s="1511" t="s">
        <v>205</v>
      </c>
      <c r="B28" s="1511"/>
      <c r="C28" s="829">
        <f>SUM(C5:C27)</f>
        <v>10396</v>
      </c>
      <c r="D28" s="833">
        <f>SUM(D5:D27)</f>
        <v>61765.840000100005</v>
      </c>
      <c r="E28" s="833">
        <f>SUM(E5:E27)</f>
        <v>16882.169999999995</v>
      </c>
      <c r="F28" s="1135">
        <f>SUM(F5:F27)</f>
        <v>6439.2800000000007</v>
      </c>
      <c r="G28" s="833">
        <f>F28/E28%</f>
        <v>38.142489976110909</v>
      </c>
      <c r="H28" s="1135">
        <f>E28-F28</f>
        <v>10442.889999999994</v>
      </c>
      <c r="I28" s="1135">
        <f>H28/E28%</f>
        <v>61.857510023889098</v>
      </c>
      <c r="J28" s="833">
        <f>SUM(J5:J27)</f>
        <v>13922.440000000002</v>
      </c>
      <c r="K28" s="833">
        <f>J28/D28%</f>
        <v>22.540679443487633</v>
      </c>
      <c r="L28" s="1209">
        <f>SUM(L5:L27)</f>
        <v>9532.67</v>
      </c>
    </row>
    <row r="29" spans="1:12">
      <c r="A29" s="1119">
        <v>1</v>
      </c>
      <c r="B29" s="226" t="s">
        <v>16</v>
      </c>
      <c r="C29" s="222">
        <v>1514</v>
      </c>
      <c r="D29" s="176">
        <v>8098.93</v>
      </c>
      <c r="E29" s="177">
        <v>2657.12</v>
      </c>
      <c r="F29" s="177">
        <v>1631.81</v>
      </c>
      <c r="G29" s="833">
        <f>F29/E29%</f>
        <v>61.412732582645873</v>
      </c>
      <c r="H29" s="176">
        <v>870.56</v>
      </c>
      <c r="I29" s="833">
        <f>H29/E29%</f>
        <v>32.76329258746312</v>
      </c>
      <c r="J29" s="176">
        <v>55.07</v>
      </c>
      <c r="K29" s="1136">
        <f>J29/D29%</f>
        <v>0.67996636592735094</v>
      </c>
      <c r="L29" s="1203">
        <v>1845.89</v>
      </c>
    </row>
    <row r="30" spans="1:12">
      <c r="A30" s="771">
        <v>1</v>
      </c>
      <c r="B30" s="784" t="s">
        <v>110</v>
      </c>
      <c r="C30" s="221">
        <v>2169</v>
      </c>
      <c r="D30" s="756">
        <v>3990.59</v>
      </c>
      <c r="E30" s="224">
        <v>1296.1400000000001</v>
      </c>
      <c r="F30" s="224">
        <v>325.60000000000002</v>
      </c>
      <c r="G30" s="1136">
        <f>F30/E30%</f>
        <v>25.120743129600196</v>
      </c>
      <c r="H30" s="756">
        <f>E30-F30</f>
        <v>970.54000000000008</v>
      </c>
      <c r="I30" s="1136">
        <f>H30/E30%</f>
        <v>74.8792568703998</v>
      </c>
      <c r="J30" s="756">
        <v>2340.63</v>
      </c>
      <c r="K30" s="1136">
        <f>J30/D30%</f>
        <v>58.653732906662924</v>
      </c>
      <c r="L30" s="1210">
        <v>122.5</v>
      </c>
    </row>
    <row r="31" spans="1:12">
      <c r="A31" s="1512" t="s">
        <v>206</v>
      </c>
      <c r="B31" s="1513"/>
      <c r="C31" s="829">
        <f t="shared" ref="C31:H31" si="4">SUM(C28:C30)</f>
        <v>14079</v>
      </c>
      <c r="D31" s="1135">
        <f>SUM(D28:D30)</f>
        <v>73855.360000100001</v>
      </c>
      <c r="E31" s="1135">
        <f t="shared" si="4"/>
        <v>20835.429999999993</v>
      </c>
      <c r="F31" s="1135">
        <f t="shared" si="4"/>
        <v>8396.69</v>
      </c>
      <c r="G31" s="1136">
        <f>F31/E31*100</f>
        <v>40.300056202343818</v>
      </c>
      <c r="H31" s="833">
        <f t="shared" si="4"/>
        <v>12283.989999999994</v>
      </c>
      <c r="I31" s="1136">
        <f>H31/E31%</f>
        <v>58.957218545525571</v>
      </c>
      <c r="J31" s="833">
        <f>SUM(J28:J30)</f>
        <v>16318.140000000003</v>
      </c>
      <c r="K31" s="1136">
        <f>J31/D31%</f>
        <v>22.094726774032253</v>
      </c>
      <c r="L31" s="1209">
        <f>SUM(L28:L30)</f>
        <v>11501.06</v>
      </c>
    </row>
    <row r="32" spans="1:12">
      <c r="A32" s="175"/>
      <c r="B32" s="1201"/>
      <c r="C32" s="1509" t="s">
        <v>136</v>
      </c>
      <c r="D32" s="1509"/>
      <c r="E32" s="1509"/>
      <c r="F32" s="1509"/>
      <c r="G32" s="1509"/>
      <c r="H32" s="1509"/>
      <c r="I32" s="1509"/>
      <c r="J32" s="1509"/>
      <c r="K32" s="1509"/>
      <c r="L32" s="1509"/>
    </row>
    <row r="33" spans="1:12">
      <c r="A33" s="1211"/>
      <c r="B33" s="1142" t="s">
        <v>13</v>
      </c>
      <c r="C33" s="222">
        <v>13992</v>
      </c>
      <c r="D33" s="176">
        <v>72501.91</v>
      </c>
      <c r="E33" s="176">
        <v>20444.43</v>
      </c>
      <c r="F33" s="177">
        <v>8216.69</v>
      </c>
      <c r="G33" s="177">
        <v>40.19</v>
      </c>
      <c r="H33" s="177">
        <v>12072.99</v>
      </c>
      <c r="I33" s="177">
        <v>59.05</v>
      </c>
      <c r="J33" s="177">
        <v>17469.189999999999</v>
      </c>
      <c r="K33" s="177">
        <v>24.09</v>
      </c>
      <c r="L33" s="1203">
        <v>9611.19</v>
      </c>
    </row>
  </sheetData>
  <mergeCells count="6">
    <mergeCell ref="C32:L32"/>
    <mergeCell ref="A1:L1"/>
    <mergeCell ref="A2:L2"/>
    <mergeCell ref="A3:L3"/>
    <mergeCell ref="A28:B28"/>
    <mergeCell ref="A31:B31"/>
  </mergeCells>
  <printOptions gridLines="1"/>
  <pageMargins left="0.7" right="0.7" top="0.75" bottom="0.75" header="0.3" footer="0.3"/>
  <pageSetup paperSize="9" scale="9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M11" sqref="M11"/>
    </sheetView>
  </sheetViews>
  <sheetFormatPr defaultRowHeight="15"/>
  <cols>
    <col min="5" max="5" width="7.7109375" customWidth="1"/>
    <col min="6" max="6" width="15.85546875" customWidth="1"/>
    <col min="8" max="8" width="14.85546875" customWidth="1"/>
    <col min="10" max="10" width="9.5703125" bestFit="1" customWidth="1"/>
  </cols>
  <sheetData>
    <row r="1" spans="1:10">
      <c r="A1" s="1494">
        <v>28</v>
      </c>
      <c r="B1" s="1494"/>
      <c r="C1" s="1494"/>
      <c r="D1" s="1494"/>
      <c r="E1" s="1494"/>
      <c r="F1" s="1494"/>
      <c r="G1" s="1494"/>
      <c r="H1" s="1494"/>
      <c r="I1" s="1494"/>
      <c r="J1" s="1494"/>
    </row>
    <row r="2" spans="1:10" ht="18">
      <c r="A2" s="1516" t="s">
        <v>369</v>
      </c>
      <c r="B2" s="1516"/>
      <c r="C2" s="1516"/>
      <c r="D2" s="1516"/>
      <c r="E2" s="1516"/>
      <c r="F2" s="1516"/>
      <c r="G2" s="1516"/>
      <c r="H2" s="1516"/>
      <c r="I2" s="1516"/>
      <c r="J2" s="1516"/>
    </row>
    <row r="3" spans="1:10" ht="15.75">
      <c r="A3" s="229"/>
      <c r="B3" s="741"/>
      <c r="C3" s="280"/>
      <c r="D3" s="1517" t="s">
        <v>602</v>
      </c>
      <c r="E3" s="1517"/>
      <c r="F3" s="1517"/>
      <c r="G3" s="1517"/>
      <c r="H3" s="741"/>
      <c r="I3" s="261"/>
      <c r="J3" s="741"/>
    </row>
    <row r="4" spans="1:10" ht="15.75">
      <c r="A4" s="229"/>
      <c r="B4" s="741"/>
      <c r="C4" s="281"/>
      <c r="D4" s="282"/>
      <c r="E4" s="282"/>
      <c r="F4" s="282"/>
      <c r="G4" s="282"/>
      <c r="H4" s="741"/>
      <c r="I4" s="1518" t="s">
        <v>370</v>
      </c>
      <c r="J4" s="1518"/>
    </row>
    <row r="5" spans="1:10">
      <c r="A5" s="283" t="s">
        <v>371</v>
      </c>
      <c r="B5" s="1519" t="s">
        <v>343</v>
      </c>
      <c r="C5" s="1520" t="s">
        <v>372</v>
      </c>
      <c r="D5" s="1520"/>
      <c r="E5" s="1521" t="s">
        <v>373</v>
      </c>
      <c r="F5" s="1521"/>
      <c r="G5" s="1522" t="s">
        <v>374</v>
      </c>
      <c r="H5" s="1522"/>
      <c r="I5" s="1520" t="s">
        <v>63</v>
      </c>
      <c r="J5" s="1520"/>
    </row>
    <row r="6" spans="1:10">
      <c r="A6" s="283" t="s">
        <v>282</v>
      </c>
      <c r="B6" s="1519"/>
      <c r="C6" s="284" t="s">
        <v>302</v>
      </c>
      <c r="D6" s="285" t="s">
        <v>283</v>
      </c>
      <c r="E6" s="284" t="s">
        <v>302</v>
      </c>
      <c r="F6" s="285" t="s">
        <v>283</v>
      </c>
      <c r="G6" s="284" t="s">
        <v>302</v>
      </c>
      <c r="H6" s="284" t="s">
        <v>283</v>
      </c>
      <c r="I6" s="286" t="s">
        <v>302</v>
      </c>
      <c r="J6" s="287" t="s">
        <v>283</v>
      </c>
    </row>
    <row r="7" spans="1:10">
      <c r="A7" s="1212">
        <v>1</v>
      </c>
      <c r="B7" s="1213" t="s">
        <v>78</v>
      </c>
      <c r="C7" s="1214">
        <v>123</v>
      </c>
      <c r="D7" s="1215">
        <v>1892</v>
      </c>
      <c r="E7" s="1216">
        <v>32</v>
      </c>
      <c r="F7" s="1217">
        <v>145</v>
      </c>
      <c r="G7" s="1216">
        <v>0</v>
      </c>
      <c r="H7" s="1217">
        <v>0</v>
      </c>
      <c r="I7" s="1214">
        <f t="shared" ref="I7:J30" si="0">C7+E7+G7</f>
        <v>155</v>
      </c>
      <c r="J7" s="1215">
        <f t="shared" ref="J7:J20" si="1">H7+F7+D7</f>
        <v>2037</v>
      </c>
    </row>
    <row r="8" spans="1:10">
      <c r="A8" s="1212">
        <v>2</v>
      </c>
      <c r="B8" s="1213" t="s">
        <v>27</v>
      </c>
      <c r="C8" s="1216">
        <v>35</v>
      </c>
      <c r="D8" s="1217">
        <v>41.93</v>
      </c>
      <c r="E8" s="1216">
        <v>18</v>
      </c>
      <c r="F8" s="1217">
        <v>21.25</v>
      </c>
      <c r="G8" s="1216">
        <v>0</v>
      </c>
      <c r="H8" s="1217">
        <v>0</v>
      </c>
      <c r="I8" s="1214">
        <f t="shared" si="0"/>
        <v>53</v>
      </c>
      <c r="J8" s="1215">
        <f t="shared" si="1"/>
        <v>63.18</v>
      </c>
    </row>
    <row r="9" spans="1:10">
      <c r="A9" s="1212">
        <v>3</v>
      </c>
      <c r="B9" s="1213" t="s">
        <v>46</v>
      </c>
      <c r="C9" s="1216">
        <v>16</v>
      </c>
      <c r="D9" s="1217">
        <v>96.25</v>
      </c>
      <c r="E9" s="1216">
        <v>12</v>
      </c>
      <c r="F9" s="1217">
        <v>104.77</v>
      </c>
      <c r="G9" s="1216">
        <v>0</v>
      </c>
      <c r="H9" s="1217">
        <v>0</v>
      </c>
      <c r="I9" s="1214">
        <f t="shared" si="0"/>
        <v>28</v>
      </c>
      <c r="J9" s="1215">
        <f t="shared" si="1"/>
        <v>201.01999999999998</v>
      </c>
    </row>
    <row r="10" spans="1:10">
      <c r="A10" s="1212">
        <v>4</v>
      </c>
      <c r="B10" s="1213" t="s">
        <v>32</v>
      </c>
      <c r="C10" s="1216">
        <v>493</v>
      </c>
      <c r="D10" s="1217">
        <v>3123.42</v>
      </c>
      <c r="E10" s="1216">
        <v>282</v>
      </c>
      <c r="F10" s="1217">
        <v>947.86</v>
      </c>
      <c r="G10" s="1216">
        <v>0</v>
      </c>
      <c r="H10" s="1217">
        <v>0</v>
      </c>
      <c r="I10" s="1214">
        <f t="shared" si="0"/>
        <v>775</v>
      </c>
      <c r="J10" s="1215">
        <f t="shared" si="1"/>
        <v>4071.28</v>
      </c>
    </row>
    <row r="11" spans="1:10">
      <c r="A11" s="1212">
        <v>5</v>
      </c>
      <c r="B11" s="1213" t="s">
        <v>83</v>
      </c>
      <c r="C11" s="1216">
        <v>62</v>
      </c>
      <c r="D11" s="1217">
        <v>535.48</v>
      </c>
      <c r="E11" s="1216">
        <v>18</v>
      </c>
      <c r="F11" s="1217">
        <v>120.9</v>
      </c>
      <c r="G11" s="1216">
        <v>0</v>
      </c>
      <c r="H11" s="1217">
        <v>0</v>
      </c>
      <c r="I11" s="1214">
        <f t="shared" si="0"/>
        <v>80</v>
      </c>
      <c r="J11" s="1215">
        <f t="shared" si="1"/>
        <v>656.38</v>
      </c>
    </row>
    <row r="12" spans="1:10">
      <c r="A12" s="1212">
        <v>6</v>
      </c>
      <c r="B12" s="1213" t="s">
        <v>85</v>
      </c>
      <c r="C12" s="1216">
        <v>717</v>
      </c>
      <c r="D12" s="1217">
        <v>3089.51</v>
      </c>
      <c r="E12" s="1216">
        <v>233</v>
      </c>
      <c r="F12" s="1217">
        <v>400.05</v>
      </c>
      <c r="G12" s="1216">
        <v>0</v>
      </c>
      <c r="H12" s="1217">
        <v>0</v>
      </c>
      <c r="I12" s="1214">
        <f t="shared" si="0"/>
        <v>950</v>
      </c>
      <c r="J12" s="1215">
        <f t="shared" si="1"/>
        <v>3489.5600000000004</v>
      </c>
    </row>
    <row r="13" spans="1:10">
      <c r="A13" s="508">
        <v>7</v>
      </c>
      <c r="B13" s="509" t="s">
        <v>17</v>
      </c>
      <c r="C13" s="510">
        <v>462</v>
      </c>
      <c r="D13" s="511">
        <v>571.36</v>
      </c>
      <c r="E13" s="510">
        <v>699</v>
      </c>
      <c r="F13" s="511">
        <v>619.46</v>
      </c>
      <c r="G13" s="510">
        <v>0</v>
      </c>
      <c r="H13" s="511">
        <v>0</v>
      </c>
      <c r="I13" s="512">
        <f t="shared" si="0"/>
        <v>1161</v>
      </c>
      <c r="J13" s="513">
        <f t="shared" si="1"/>
        <v>1190.8200000000002</v>
      </c>
    </row>
    <row r="14" spans="1:10">
      <c r="A14" s="1212">
        <v>8</v>
      </c>
      <c r="B14" s="1213" t="s">
        <v>26</v>
      </c>
      <c r="C14" s="1216">
        <v>50</v>
      </c>
      <c r="D14" s="1217">
        <v>214.91</v>
      </c>
      <c r="E14" s="1216">
        <v>311</v>
      </c>
      <c r="F14" s="1217">
        <v>1175.95</v>
      </c>
      <c r="G14" s="1216">
        <v>0</v>
      </c>
      <c r="H14" s="1217">
        <v>0</v>
      </c>
      <c r="I14" s="1214">
        <f t="shared" si="0"/>
        <v>361</v>
      </c>
      <c r="J14" s="1215">
        <f t="shared" si="1"/>
        <v>1390.8600000000001</v>
      </c>
    </row>
    <row r="15" spans="1:10">
      <c r="A15" s="1212">
        <v>9</v>
      </c>
      <c r="B15" s="1213" t="s">
        <v>11</v>
      </c>
      <c r="C15" s="1216">
        <v>25</v>
      </c>
      <c r="D15" s="1217">
        <v>137.97999999999999</v>
      </c>
      <c r="E15" s="1216">
        <v>48</v>
      </c>
      <c r="F15" s="1217">
        <v>280.75</v>
      </c>
      <c r="G15" s="1216">
        <v>0</v>
      </c>
      <c r="H15" s="1217">
        <v>0</v>
      </c>
      <c r="I15" s="1214">
        <f t="shared" si="0"/>
        <v>73</v>
      </c>
      <c r="J15" s="1215">
        <f t="shared" si="1"/>
        <v>418.73</v>
      </c>
    </row>
    <row r="16" spans="1:10">
      <c r="A16" s="1212">
        <v>10</v>
      </c>
      <c r="B16" s="1213" t="s">
        <v>90</v>
      </c>
      <c r="C16" s="1216">
        <v>226</v>
      </c>
      <c r="D16" s="1217">
        <f>1791.94+4.05</f>
        <v>1795.99</v>
      </c>
      <c r="E16" s="1216">
        <v>103</v>
      </c>
      <c r="F16" s="1217">
        <v>239.1</v>
      </c>
      <c r="G16" s="1216">
        <v>0</v>
      </c>
      <c r="H16" s="1217">
        <v>0</v>
      </c>
      <c r="I16" s="1214">
        <f t="shared" si="0"/>
        <v>329</v>
      </c>
      <c r="J16" s="1215">
        <f t="shared" si="1"/>
        <v>2035.09</v>
      </c>
    </row>
    <row r="17" spans="1:10">
      <c r="A17" s="1212">
        <v>11</v>
      </c>
      <c r="B17" s="1213" t="s">
        <v>92</v>
      </c>
      <c r="C17" s="1216">
        <v>76</v>
      </c>
      <c r="D17" s="1217">
        <v>284.05</v>
      </c>
      <c r="E17" s="1216">
        <v>53</v>
      </c>
      <c r="F17" s="1217">
        <v>43.18</v>
      </c>
      <c r="G17" s="1216">
        <v>0</v>
      </c>
      <c r="H17" s="1217">
        <v>0</v>
      </c>
      <c r="I17" s="1214">
        <f t="shared" si="0"/>
        <v>129</v>
      </c>
      <c r="J17" s="1215">
        <f t="shared" si="1"/>
        <v>327.23</v>
      </c>
    </row>
    <row r="18" spans="1:10">
      <c r="A18" s="1212">
        <v>12</v>
      </c>
      <c r="B18" s="1213" t="s">
        <v>51</v>
      </c>
      <c r="C18" s="1216">
        <v>78</v>
      </c>
      <c r="D18" s="1217">
        <v>284.07</v>
      </c>
      <c r="E18" s="1216">
        <v>21</v>
      </c>
      <c r="F18" s="1217">
        <v>105.41</v>
      </c>
      <c r="G18" s="1216">
        <v>0</v>
      </c>
      <c r="H18" s="1217">
        <v>0</v>
      </c>
      <c r="I18" s="1214">
        <f t="shared" si="0"/>
        <v>99</v>
      </c>
      <c r="J18" s="1215">
        <f t="shared" si="1"/>
        <v>389.48</v>
      </c>
    </row>
    <row r="19" spans="1:10">
      <c r="A19" s="1212">
        <v>13</v>
      </c>
      <c r="B19" s="1213" t="s">
        <v>52</v>
      </c>
      <c r="C19" s="1216">
        <v>29</v>
      </c>
      <c r="D19" s="1217">
        <v>49.05</v>
      </c>
      <c r="E19" s="1216">
        <v>39</v>
      </c>
      <c r="F19" s="1217">
        <v>82.82</v>
      </c>
      <c r="G19" s="1216">
        <v>0</v>
      </c>
      <c r="H19" s="1217">
        <v>0</v>
      </c>
      <c r="I19" s="1214">
        <f t="shared" si="0"/>
        <v>68</v>
      </c>
      <c r="J19" s="1215">
        <f t="shared" si="1"/>
        <v>131.87</v>
      </c>
    </row>
    <row r="20" spans="1:10">
      <c r="A20" s="1212">
        <v>14</v>
      </c>
      <c r="B20" s="1213" t="s">
        <v>28</v>
      </c>
      <c r="C20" s="1216">
        <v>1334</v>
      </c>
      <c r="D20" s="1217">
        <v>6347.1</v>
      </c>
      <c r="E20" s="1216">
        <v>537</v>
      </c>
      <c r="F20" s="1217">
        <v>1103.45</v>
      </c>
      <c r="G20" s="1216">
        <v>0</v>
      </c>
      <c r="H20" s="1217">
        <v>0</v>
      </c>
      <c r="I20" s="1214">
        <f t="shared" si="0"/>
        <v>1871</v>
      </c>
      <c r="J20" s="1215">
        <f t="shared" si="1"/>
        <v>7450.55</v>
      </c>
    </row>
    <row r="21" spans="1:10">
      <c r="A21" s="1212">
        <v>15</v>
      </c>
      <c r="B21" s="1213" t="s">
        <v>10</v>
      </c>
      <c r="C21" s="1216">
        <v>20867</v>
      </c>
      <c r="D21" s="1217">
        <v>42542</v>
      </c>
      <c r="E21" s="1216">
        <v>8758</v>
      </c>
      <c r="F21" s="1217">
        <v>18102</v>
      </c>
      <c r="G21" s="1216">
        <v>126</v>
      </c>
      <c r="H21" s="1217">
        <v>124.6</v>
      </c>
      <c r="I21" s="1214">
        <f t="shared" si="0"/>
        <v>29751</v>
      </c>
      <c r="J21" s="1215">
        <f>H21+F21+D21</f>
        <v>60768.6</v>
      </c>
    </row>
    <row r="22" spans="1:10">
      <c r="A22" s="1212">
        <v>16</v>
      </c>
      <c r="B22" s="1213" t="s">
        <v>98</v>
      </c>
      <c r="C22" s="1216">
        <v>340</v>
      </c>
      <c r="D22" s="1217">
        <v>447.8</v>
      </c>
      <c r="E22" s="1216">
        <v>274</v>
      </c>
      <c r="F22" s="1217">
        <v>337.88</v>
      </c>
      <c r="G22" s="1216">
        <v>0</v>
      </c>
      <c r="H22" s="1217">
        <v>0</v>
      </c>
      <c r="I22" s="1214">
        <f t="shared" si="0"/>
        <v>614</v>
      </c>
      <c r="J22" s="1215">
        <f t="shared" ref="J22:J27" si="2">H22+F22+D22</f>
        <v>785.68000000000006</v>
      </c>
    </row>
    <row r="23" spans="1:10">
      <c r="A23" s="1212">
        <v>17</v>
      </c>
      <c r="B23" s="1213" t="s">
        <v>35</v>
      </c>
      <c r="C23" s="1216">
        <v>718</v>
      </c>
      <c r="D23" s="1217">
        <v>1049.27</v>
      </c>
      <c r="E23" s="1216">
        <v>179</v>
      </c>
      <c r="F23" s="1217">
        <v>478.3</v>
      </c>
      <c r="G23" s="1216">
        <v>0</v>
      </c>
      <c r="H23" s="1217">
        <v>0</v>
      </c>
      <c r="I23" s="1214">
        <f t="shared" si="0"/>
        <v>897</v>
      </c>
      <c r="J23" s="1215">
        <f t="shared" si="2"/>
        <v>1527.57</v>
      </c>
    </row>
    <row r="24" spans="1:10">
      <c r="A24" s="1212">
        <v>18</v>
      </c>
      <c r="B24" s="1213" t="s">
        <v>54</v>
      </c>
      <c r="C24" s="1216">
        <v>609</v>
      </c>
      <c r="D24" s="1217">
        <v>5432</v>
      </c>
      <c r="E24" s="1216">
        <v>172</v>
      </c>
      <c r="F24" s="1217">
        <v>960</v>
      </c>
      <c r="G24" s="1216">
        <v>0</v>
      </c>
      <c r="H24" s="1217">
        <v>0</v>
      </c>
      <c r="I24" s="1214">
        <f t="shared" si="0"/>
        <v>781</v>
      </c>
      <c r="J24" s="1215">
        <f t="shared" si="2"/>
        <v>6392</v>
      </c>
    </row>
    <row r="25" spans="1:10">
      <c r="A25" s="1212">
        <v>19</v>
      </c>
      <c r="B25" s="1213" t="s">
        <v>102</v>
      </c>
      <c r="C25" s="1216">
        <v>15</v>
      </c>
      <c r="D25" s="1217">
        <v>118.72</v>
      </c>
      <c r="E25" s="1216">
        <v>0</v>
      </c>
      <c r="F25" s="1217">
        <v>0</v>
      </c>
      <c r="G25" s="1216">
        <v>0</v>
      </c>
      <c r="H25" s="1217">
        <v>0</v>
      </c>
      <c r="I25" s="1214">
        <f t="shared" si="0"/>
        <v>15</v>
      </c>
      <c r="J25" s="1215">
        <f t="shared" si="2"/>
        <v>118.72</v>
      </c>
    </row>
    <row r="26" spans="1:10">
      <c r="A26" s="1212">
        <v>20</v>
      </c>
      <c r="B26" s="1213" t="s">
        <v>104</v>
      </c>
      <c r="C26" s="1216">
        <v>1563</v>
      </c>
      <c r="D26" s="1217">
        <v>6821.21</v>
      </c>
      <c r="E26" s="1216">
        <v>561</v>
      </c>
      <c r="F26" s="1217">
        <v>3854.1</v>
      </c>
      <c r="G26" s="1216">
        <v>0</v>
      </c>
      <c r="H26" s="1217">
        <v>0</v>
      </c>
      <c r="I26" s="1214">
        <f t="shared" si="0"/>
        <v>2124</v>
      </c>
      <c r="J26" s="1215">
        <f t="shared" si="2"/>
        <v>10675.31</v>
      </c>
    </row>
    <row r="27" spans="1:10">
      <c r="A27" s="1212">
        <v>21</v>
      </c>
      <c r="B27" s="1213" t="s">
        <v>106</v>
      </c>
      <c r="C27" s="1216">
        <v>0</v>
      </c>
      <c r="D27" s="1217">
        <v>0</v>
      </c>
      <c r="E27" s="1216">
        <v>0</v>
      </c>
      <c r="F27" s="1217">
        <v>0</v>
      </c>
      <c r="G27" s="1216">
        <v>0</v>
      </c>
      <c r="H27" s="1217">
        <v>0</v>
      </c>
      <c r="I27" s="1214">
        <f t="shared" si="0"/>
        <v>0</v>
      </c>
      <c r="J27" s="1215">
        <f t="shared" si="2"/>
        <v>0</v>
      </c>
    </row>
    <row r="28" spans="1:10">
      <c r="A28" s="1212">
        <v>22</v>
      </c>
      <c r="B28" s="1213" t="s">
        <v>108</v>
      </c>
      <c r="C28" s="1216">
        <v>32</v>
      </c>
      <c r="D28" s="1217">
        <v>241.55</v>
      </c>
      <c r="E28" s="1216">
        <v>12</v>
      </c>
      <c r="F28" s="1217">
        <v>84.57</v>
      </c>
      <c r="G28" s="1216">
        <v>0</v>
      </c>
      <c r="H28" s="1217">
        <v>0</v>
      </c>
      <c r="I28" s="1214">
        <f>C28+E28+G28</f>
        <v>44</v>
      </c>
      <c r="J28" s="1215">
        <f>H28+F28+D28</f>
        <v>326.12</v>
      </c>
    </row>
    <row r="29" spans="1:10">
      <c r="A29" s="1514" t="s">
        <v>340</v>
      </c>
      <c r="B29" s="1514"/>
      <c r="C29" s="1218">
        <f t="shared" ref="C29:J29" si="3">SUM(C7:C28)</f>
        <v>27870</v>
      </c>
      <c r="D29" s="1219">
        <f t="shared" si="3"/>
        <v>75115.650000000009</v>
      </c>
      <c r="E29" s="1218">
        <f t="shared" si="3"/>
        <v>12362</v>
      </c>
      <c r="F29" s="1219">
        <f t="shared" si="3"/>
        <v>29206.799999999996</v>
      </c>
      <c r="G29" s="1218">
        <f t="shared" si="3"/>
        <v>126</v>
      </c>
      <c r="H29" s="1219">
        <f t="shared" si="3"/>
        <v>124.6</v>
      </c>
      <c r="I29" s="1218">
        <f t="shared" si="3"/>
        <v>40358</v>
      </c>
      <c r="J29" s="1219">
        <f t="shared" si="3"/>
        <v>104447.04999999999</v>
      </c>
    </row>
    <row r="30" spans="1:10">
      <c r="A30" s="1212">
        <v>22</v>
      </c>
      <c r="B30" s="1220" t="s">
        <v>16</v>
      </c>
      <c r="C30" s="1216">
        <v>4536</v>
      </c>
      <c r="D30" s="1217">
        <v>10555.19</v>
      </c>
      <c r="E30" s="1216">
        <v>2117</v>
      </c>
      <c r="F30" s="1217">
        <v>5743.27</v>
      </c>
      <c r="G30" s="1216">
        <v>0</v>
      </c>
      <c r="H30" s="1217">
        <v>0</v>
      </c>
      <c r="I30" s="1214">
        <f t="shared" si="0"/>
        <v>6653</v>
      </c>
      <c r="J30" s="1215">
        <f t="shared" si="0"/>
        <v>16298.460000000001</v>
      </c>
    </row>
    <row r="31" spans="1:10">
      <c r="A31" s="1212">
        <v>23</v>
      </c>
      <c r="B31" s="1220" t="s">
        <v>12</v>
      </c>
      <c r="C31" s="1216">
        <v>9864</v>
      </c>
      <c r="D31" s="1217">
        <v>13078.1</v>
      </c>
      <c r="E31" s="1216">
        <v>2991</v>
      </c>
      <c r="F31" s="1217">
        <v>6539.05</v>
      </c>
      <c r="G31" s="1216">
        <v>0</v>
      </c>
      <c r="H31" s="1217">
        <v>0</v>
      </c>
      <c r="I31" s="1214">
        <f t="shared" ref="I31:J32" si="4">C31+E31+G31</f>
        <v>12855</v>
      </c>
      <c r="J31" s="1215">
        <f t="shared" si="4"/>
        <v>19617.150000000001</v>
      </c>
    </row>
    <row r="32" spans="1:10">
      <c r="A32" s="1221" t="s">
        <v>375</v>
      </c>
      <c r="B32" s="1222" t="s">
        <v>376</v>
      </c>
      <c r="C32" s="1223">
        <f t="shared" ref="C32:H32" si="5">SUM(C29:C31)</f>
        <v>42270</v>
      </c>
      <c r="D32" s="1224">
        <f t="shared" si="5"/>
        <v>98748.940000000017</v>
      </c>
      <c r="E32" s="1223">
        <f t="shared" si="5"/>
        <v>17470</v>
      </c>
      <c r="F32" s="1224">
        <f t="shared" si="5"/>
        <v>41489.119999999995</v>
      </c>
      <c r="G32" s="1223">
        <f t="shared" si="5"/>
        <v>126</v>
      </c>
      <c r="H32" s="1224">
        <f t="shared" si="5"/>
        <v>124.6</v>
      </c>
      <c r="I32" s="1223">
        <f t="shared" si="4"/>
        <v>59866</v>
      </c>
      <c r="J32" s="1224">
        <f>D32+F32+H32</f>
        <v>140362.66</v>
      </c>
    </row>
    <row r="33" spans="1:10">
      <c r="A33" s="1515" t="s">
        <v>377</v>
      </c>
      <c r="B33" s="1515"/>
      <c r="C33" s="1223">
        <v>42231</v>
      </c>
      <c r="D33" s="1224">
        <v>98052.07</v>
      </c>
      <c r="E33" s="1223">
        <v>17433</v>
      </c>
      <c r="F33" s="1224">
        <v>41258.11</v>
      </c>
      <c r="G33" s="1223">
        <v>126</v>
      </c>
      <c r="H33" s="1225">
        <v>124.6</v>
      </c>
      <c r="I33" s="1223">
        <v>59790</v>
      </c>
      <c r="J33" s="1224">
        <v>139434.78</v>
      </c>
    </row>
  </sheetData>
  <mergeCells count="11">
    <mergeCell ref="A29:B29"/>
    <mergeCell ref="A33:B33"/>
    <mergeCell ref="A1:J1"/>
    <mergeCell ref="A2:J2"/>
    <mergeCell ref="D3:G3"/>
    <mergeCell ref="I4:J4"/>
    <mergeCell ref="B5:B6"/>
    <mergeCell ref="C5:D5"/>
    <mergeCell ref="E5:F5"/>
    <mergeCell ref="G5:H5"/>
    <mergeCell ref="I5:J5"/>
  </mergeCells>
  <printOptions gridLines="1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5"/>
  <sheetViews>
    <sheetView topLeftCell="A14" workbookViewId="0">
      <selection activeCell="F35" sqref="F35"/>
    </sheetView>
  </sheetViews>
  <sheetFormatPr defaultRowHeight="15"/>
  <cols>
    <col min="1" max="1" width="6.28515625" bestFit="1" customWidth="1"/>
    <col min="2" max="2" width="51.85546875" bestFit="1" customWidth="1"/>
    <col min="3" max="3" width="19.140625" bestFit="1" customWidth="1"/>
  </cols>
  <sheetData>
    <row r="1" spans="1:3">
      <c r="A1" s="741"/>
      <c r="B1" s="741"/>
      <c r="C1" s="741"/>
    </row>
    <row r="2" spans="1:3">
      <c r="A2" s="1418" t="s">
        <v>627</v>
      </c>
      <c r="B2" s="1418"/>
      <c r="C2" s="1418"/>
    </row>
    <row r="3" spans="1:3" ht="20.25">
      <c r="A3" s="1374" t="s">
        <v>138</v>
      </c>
      <c r="B3" s="1374" t="s">
        <v>139</v>
      </c>
      <c r="C3" s="1375" t="s">
        <v>140</v>
      </c>
    </row>
    <row r="4" spans="1:3" ht="15.75">
      <c r="A4" s="1376">
        <f>ROW(A39)</f>
        <v>39</v>
      </c>
      <c r="B4" s="1377" t="s">
        <v>148</v>
      </c>
      <c r="C4" s="1403" t="s">
        <v>635</v>
      </c>
    </row>
    <row r="5" spans="1:3" ht="15.75">
      <c r="A5" s="1376">
        <f t="shared" ref="A5:A35" si="0">ROW(A40)</f>
        <v>40</v>
      </c>
      <c r="B5" s="1377" t="s">
        <v>150</v>
      </c>
      <c r="C5" s="1404">
        <v>59</v>
      </c>
    </row>
    <row r="6" spans="1:3" ht="15.75">
      <c r="A6" s="1376">
        <f t="shared" si="0"/>
        <v>41</v>
      </c>
      <c r="B6" s="1378" t="s">
        <v>151</v>
      </c>
      <c r="C6" s="1404">
        <v>60</v>
      </c>
    </row>
    <row r="7" spans="1:3" ht="15.75">
      <c r="A7" s="1376">
        <f t="shared" si="0"/>
        <v>42</v>
      </c>
      <c r="B7" s="1378" t="s">
        <v>152</v>
      </c>
      <c r="C7" s="1404">
        <v>61</v>
      </c>
    </row>
    <row r="8" spans="1:3" ht="15.75">
      <c r="A8" s="1376">
        <f t="shared" si="0"/>
        <v>43</v>
      </c>
      <c r="B8" s="1378" t="s">
        <v>153</v>
      </c>
      <c r="C8" s="1404">
        <v>62</v>
      </c>
    </row>
    <row r="9" spans="1:3" ht="15.75">
      <c r="A9" s="1376">
        <f t="shared" si="0"/>
        <v>44</v>
      </c>
      <c r="B9" s="1378" t="s">
        <v>154</v>
      </c>
      <c r="C9" s="1404">
        <v>63</v>
      </c>
    </row>
    <row r="10" spans="1:3" ht="15.75">
      <c r="A10" s="1376">
        <f t="shared" si="0"/>
        <v>45</v>
      </c>
      <c r="B10" s="1378" t="s">
        <v>155</v>
      </c>
      <c r="C10" s="1404">
        <v>64</v>
      </c>
    </row>
    <row r="11" spans="1:3" ht="15.75">
      <c r="A11" s="1376">
        <f t="shared" si="0"/>
        <v>46</v>
      </c>
      <c r="B11" s="1378" t="s">
        <v>156</v>
      </c>
      <c r="C11" s="1404">
        <v>65</v>
      </c>
    </row>
    <row r="12" spans="1:3" ht="15.75">
      <c r="A12" s="1376">
        <f t="shared" si="0"/>
        <v>47</v>
      </c>
      <c r="B12" s="1378" t="s">
        <v>157</v>
      </c>
      <c r="C12" s="1404">
        <v>66</v>
      </c>
    </row>
    <row r="13" spans="1:3" ht="15.75">
      <c r="A13" s="1376">
        <f t="shared" si="0"/>
        <v>48</v>
      </c>
      <c r="B13" s="1378" t="s">
        <v>158</v>
      </c>
      <c r="C13" s="1404">
        <v>67</v>
      </c>
    </row>
    <row r="14" spans="1:3" ht="15.75">
      <c r="A14" s="1376">
        <f t="shared" si="0"/>
        <v>49</v>
      </c>
      <c r="B14" s="1378" t="s">
        <v>159</v>
      </c>
      <c r="C14" s="1404">
        <v>68</v>
      </c>
    </row>
    <row r="15" spans="1:3" ht="15.75">
      <c r="A15" s="1376">
        <f t="shared" si="0"/>
        <v>50</v>
      </c>
      <c r="B15" s="1378" t="s">
        <v>160</v>
      </c>
      <c r="C15" s="1404">
        <v>69</v>
      </c>
    </row>
    <row r="16" spans="1:3" ht="15.75">
      <c r="A16" s="1376">
        <f t="shared" si="0"/>
        <v>51</v>
      </c>
      <c r="B16" s="1378" t="s">
        <v>161</v>
      </c>
      <c r="C16" s="1404">
        <v>70</v>
      </c>
    </row>
    <row r="17" spans="1:3" ht="15.75">
      <c r="A17" s="1376">
        <f t="shared" si="0"/>
        <v>52</v>
      </c>
      <c r="B17" s="1378" t="s">
        <v>162</v>
      </c>
      <c r="C17" s="1404">
        <v>71</v>
      </c>
    </row>
    <row r="18" spans="1:3" ht="15.75">
      <c r="A18" s="1376">
        <f t="shared" si="0"/>
        <v>53</v>
      </c>
      <c r="B18" s="1378" t="s">
        <v>163</v>
      </c>
      <c r="C18" s="1404">
        <v>72</v>
      </c>
    </row>
    <row r="19" spans="1:3" ht="15.75">
      <c r="A19" s="1376">
        <f t="shared" si="0"/>
        <v>54</v>
      </c>
      <c r="B19" s="1378" t="s">
        <v>164</v>
      </c>
      <c r="C19" s="1404">
        <v>73</v>
      </c>
    </row>
    <row r="20" spans="1:3" ht="15.75">
      <c r="A20" s="1376">
        <f t="shared" si="0"/>
        <v>55</v>
      </c>
      <c r="B20" s="1378" t="s">
        <v>165</v>
      </c>
      <c r="C20" s="1404">
        <v>74</v>
      </c>
    </row>
    <row r="21" spans="1:3" ht="15.75">
      <c r="A21" s="1376">
        <f t="shared" si="0"/>
        <v>56</v>
      </c>
      <c r="B21" s="1378" t="s">
        <v>166</v>
      </c>
      <c r="C21" s="1404">
        <v>75</v>
      </c>
    </row>
    <row r="22" spans="1:3" ht="15.75">
      <c r="A22" s="1376">
        <f t="shared" si="0"/>
        <v>57</v>
      </c>
      <c r="B22" s="1378" t="s">
        <v>167</v>
      </c>
      <c r="C22" s="1404">
        <v>76</v>
      </c>
    </row>
    <row r="23" spans="1:3" ht="15.75">
      <c r="A23" s="1376">
        <f t="shared" si="0"/>
        <v>58</v>
      </c>
      <c r="B23" s="1378" t="s">
        <v>168</v>
      </c>
      <c r="C23" s="1404">
        <v>77</v>
      </c>
    </row>
    <row r="24" spans="1:3" ht="15.75">
      <c r="A24" s="1376">
        <f t="shared" si="0"/>
        <v>59</v>
      </c>
      <c r="B24" s="1378" t="s">
        <v>169</v>
      </c>
      <c r="C24" s="1404">
        <v>78</v>
      </c>
    </row>
    <row r="25" spans="1:3" ht="15.75">
      <c r="A25" s="1376">
        <f t="shared" si="0"/>
        <v>60</v>
      </c>
      <c r="B25" s="1378" t="s">
        <v>170</v>
      </c>
      <c r="C25" s="1404">
        <v>79</v>
      </c>
    </row>
    <row r="26" spans="1:3" ht="15.75">
      <c r="A26" s="1376">
        <f t="shared" si="0"/>
        <v>61</v>
      </c>
      <c r="B26" s="1378" t="s">
        <v>171</v>
      </c>
      <c r="C26" s="1404">
        <v>80</v>
      </c>
    </row>
    <row r="27" spans="1:3" ht="15.75">
      <c r="A27" s="1376">
        <f t="shared" si="0"/>
        <v>62</v>
      </c>
      <c r="B27" s="1378" t="s">
        <v>172</v>
      </c>
      <c r="C27" s="1404">
        <v>81</v>
      </c>
    </row>
    <row r="28" spans="1:3" ht="15.75">
      <c r="A28" s="1376">
        <f t="shared" si="0"/>
        <v>63</v>
      </c>
      <c r="B28" s="1378" t="s">
        <v>173</v>
      </c>
      <c r="C28" s="1404">
        <v>82</v>
      </c>
    </row>
    <row r="29" spans="1:3" ht="15.75">
      <c r="A29" s="1376">
        <f t="shared" si="0"/>
        <v>64</v>
      </c>
      <c r="B29" s="1377" t="s">
        <v>174</v>
      </c>
      <c r="C29" s="1404">
        <v>83</v>
      </c>
    </row>
    <row r="30" spans="1:3" s="741" customFormat="1" ht="15.75">
      <c r="A30" s="1376">
        <f t="shared" si="0"/>
        <v>65</v>
      </c>
      <c r="B30" s="129" t="s">
        <v>175</v>
      </c>
      <c r="C30" s="1400" t="s">
        <v>636</v>
      </c>
    </row>
    <row r="31" spans="1:3" s="741" customFormat="1" ht="15.75">
      <c r="A31" s="1376">
        <f t="shared" si="0"/>
        <v>66</v>
      </c>
      <c r="B31" s="130" t="s">
        <v>176</v>
      </c>
      <c r="C31" s="1400">
        <v>90</v>
      </c>
    </row>
    <row r="32" spans="1:3" s="741" customFormat="1" ht="15.75">
      <c r="A32" s="1376">
        <f t="shared" si="0"/>
        <v>67</v>
      </c>
      <c r="B32" s="1020" t="s">
        <v>177</v>
      </c>
      <c r="C32" s="1402">
        <v>91</v>
      </c>
    </row>
    <row r="33" spans="1:3" ht="15.75">
      <c r="A33" s="1376">
        <f t="shared" si="0"/>
        <v>68</v>
      </c>
      <c r="B33" s="1398" t="s">
        <v>624</v>
      </c>
      <c r="C33" s="1405">
        <v>91</v>
      </c>
    </row>
    <row r="34" spans="1:3" ht="15.75">
      <c r="A34" s="1376">
        <f t="shared" si="0"/>
        <v>69</v>
      </c>
      <c r="B34" s="1398" t="s">
        <v>625</v>
      </c>
      <c r="C34" s="1405" t="s">
        <v>637</v>
      </c>
    </row>
    <row r="35" spans="1:3" ht="15.75">
      <c r="A35" s="1376">
        <f t="shared" si="0"/>
        <v>70</v>
      </c>
      <c r="B35" s="1398" t="s">
        <v>626</v>
      </c>
      <c r="C35" s="1405">
        <v>96</v>
      </c>
    </row>
  </sheetData>
  <mergeCells count="1">
    <mergeCell ref="A2:C2"/>
  </mergeCells>
  <printOptions gridLines="1"/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M1"/>
    </sheetView>
  </sheetViews>
  <sheetFormatPr defaultRowHeight="15"/>
  <cols>
    <col min="5" max="5" width="9.5703125" bestFit="1" customWidth="1"/>
    <col min="13" max="13" width="9.5703125" bestFit="1" customWidth="1"/>
  </cols>
  <sheetData>
    <row r="1" spans="1:13">
      <c r="A1" s="1494">
        <v>29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</row>
    <row r="2" spans="1:13" ht="15.75">
      <c r="A2" s="1523" t="s">
        <v>362</v>
      </c>
      <c r="B2" s="1523"/>
      <c r="C2" s="1523"/>
      <c r="D2" s="1523"/>
      <c r="E2" s="1523"/>
      <c r="F2" s="1523"/>
      <c r="G2" s="1523"/>
      <c r="H2" s="1523"/>
      <c r="I2" s="1523"/>
      <c r="J2" s="1523"/>
      <c r="K2" s="1523"/>
      <c r="L2" s="1523"/>
      <c r="M2" s="1523"/>
    </row>
    <row r="3" spans="1:13" ht="15.75">
      <c r="A3" s="1524" t="s">
        <v>612</v>
      </c>
      <c r="B3" s="1524"/>
      <c r="C3" s="1524"/>
      <c r="D3" s="1524"/>
      <c r="E3" s="1524"/>
      <c r="F3" s="1524"/>
      <c r="G3" s="1524"/>
      <c r="H3" s="1524"/>
      <c r="I3" s="1524"/>
      <c r="J3" s="1524"/>
      <c r="K3" s="1524"/>
      <c r="L3" s="1524"/>
      <c r="M3" s="1524"/>
    </row>
    <row r="4" spans="1:13">
      <c r="A4" s="1525" t="s">
        <v>343</v>
      </c>
      <c r="B4" s="1527" t="s">
        <v>363</v>
      </c>
      <c r="C4" s="1528"/>
      <c r="D4" s="1527" t="s">
        <v>364</v>
      </c>
      <c r="E4" s="1528"/>
      <c r="F4" s="1527" t="s">
        <v>365</v>
      </c>
      <c r="G4" s="1528"/>
      <c r="H4" s="1527" t="s">
        <v>366</v>
      </c>
      <c r="I4" s="1528"/>
      <c r="J4" s="1527" t="s">
        <v>367</v>
      </c>
      <c r="K4" s="1528"/>
      <c r="L4" s="1529" t="s">
        <v>63</v>
      </c>
      <c r="M4" s="1530"/>
    </row>
    <row r="5" spans="1:13">
      <c r="A5" s="1526"/>
      <c r="B5" s="277" t="s">
        <v>282</v>
      </c>
      <c r="C5" s="277" t="s">
        <v>350</v>
      </c>
      <c r="D5" s="277" t="s">
        <v>368</v>
      </c>
      <c r="E5" s="277" t="s">
        <v>350</v>
      </c>
      <c r="F5" s="277" t="s">
        <v>368</v>
      </c>
      <c r="G5" s="277" t="s">
        <v>350</v>
      </c>
      <c r="H5" s="278" t="s">
        <v>368</v>
      </c>
      <c r="I5" s="278" t="s">
        <v>350</v>
      </c>
      <c r="J5" s="278" t="s">
        <v>368</v>
      </c>
      <c r="K5" s="278" t="s">
        <v>350</v>
      </c>
      <c r="L5" s="279" t="s">
        <v>368</v>
      </c>
      <c r="M5" s="279" t="s">
        <v>350</v>
      </c>
    </row>
    <row r="6" spans="1:13">
      <c r="A6" s="1044" t="s">
        <v>78</v>
      </c>
      <c r="B6" s="1226">
        <v>6</v>
      </c>
      <c r="C6" s="1227">
        <v>74</v>
      </c>
      <c r="D6" s="1226">
        <v>73</v>
      </c>
      <c r="E6" s="1227">
        <v>652</v>
      </c>
      <c r="F6" s="1226">
        <v>0</v>
      </c>
      <c r="G6" s="1227">
        <v>0</v>
      </c>
      <c r="H6" s="1226">
        <v>0</v>
      </c>
      <c r="I6" s="1227">
        <v>0</v>
      </c>
      <c r="J6" s="1226">
        <v>0</v>
      </c>
      <c r="K6" s="1228">
        <v>0</v>
      </c>
      <c r="L6" s="1229">
        <f t="shared" ref="L6:M26" si="0">B6+D6+F6+H6+J6</f>
        <v>79</v>
      </c>
      <c r="M6" s="1228">
        <f t="shared" si="0"/>
        <v>726</v>
      </c>
    </row>
    <row r="7" spans="1:13">
      <c r="A7" s="1044" t="s">
        <v>27</v>
      </c>
      <c r="B7" s="1226">
        <v>0</v>
      </c>
      <c r="C7" s="1227">
        <v>0</v>
      </c>
      <c r="D7" s="1226">
        <v>17</v>
      </c>
      <c r="E7" s="1227">
        <v>18.579999999999998</v>
      </c>
      <c r="F7" s="1226">
        <v>0</v>
      </c>
      <c r="G7" s="1227">
        <v>0</v>
      </c>
      <c r="H7" s="1226">
        <v>0</v>
      </c>
      <c r="I7" s="1227">
        <v>0</v>
      </c>
      <c r="J7" s="1226">
        <v>0</v>
      </c>
      <c r="K7" s="1227">
        <v>0</v>
      </c>
      <c r="L7" s="1229">
        <f t="shared" si="0"/>
        <v>17</v>
      </c>
      <c r="M7" s="1228">
        <f t="shared" si="0"/>
        <v>18.579999999999998</v>
      </c>
    </row>
    <row r="8" spans="1:13">
      <c r="A8" s="1044" t="s">
        <v>46</v>
      </c>
      <c r="B8" s="1226">
        <v>2</v>
      </c>
      <c r="C8" s="1227">
        <v>18</v>
      </c>
      <c r="D8" s="1226">
        <v>18</v>
      </c>
      <c r="E8" s="1227">
        <v>2.16</v>
      </c>
      <c r="F8" s="1226">
        <v>0</v>
      </c>
      <c r="G8" s="1227">
        <v>0</v>
      </c>
      <c r="H8" s="1226">
        <v>4</v>
      </c>
      <c r="I8" s="1227">
        <v>16</v>
      </c>
      <c r="J8" s="1226">
        <v>0</v>
      </c>
      <c r="K8" s="1227">
        <v>0</v>
      </c>
      <c r="L8" s="1229">
        <f t="shared" si="0"/>
        <v>24</v>
      </c>
      <c r="M8" s="1228">
        <f t="shared" si="0"/>
        <v>36.159999999999997</v>
      </c>
    </row>
    <row r="9" spans="1:13">
      <c r="A9" s="448" t="s">
        <v>32</v>
      </c>
      <c r="B9" s="504">
        <v>16</v>
      </c>
      <c r="C9" s="505">
        <v>18.75</v>
      </c>
      <c r="D9" s="504">
        <v>766</v>
      </c>
      <c r="E9" s="505">
        <v>4179.37</v>
      </c>
      <c r="F9" s="504">
        <v>0</v>
      </c>
      <c r="G9" s="505">
        <v>0</v>
      </c>
      <c r="H9" s="504">
        <v>3</v>
      </c>
      <c r="I9" s="505">
        <v>7.05</v>
      </c>
      <c r="J9" s="504">
        <v>0</v>
      </c>
      <c r="K9" s="506">
        <v>0</v>
      </c>
      <c r="L9" s="507">
        <f t="shared" si="0"/>
        <v>785</v>
      </c>
      <c r="M9" s="506">
        <f t="shared" si="0"/>
        <v>4205.17</v>
      </c>
    </row>
    <row r="10" spans="1:13">
      <c r="A10" s="448" t="s">
        <v>83</v>
      </c>
      <c r="B10" s="504">
        <v>0</v>
      </c>
      <c r="C10" s="505">
        <v>0</v>
      </c>
      <c r="D10" s="504">
        <v>76</v>
      </c>
      <c r="E10" s="505">
        <v>703.8</v>
      </c>
      <c r="F10" s="504">
        <v>0</v>
      </c>
      <c r="G10" s="505">
        <v>0</v>
      </c>
      <c r="H10" s="504">
        <v>0</v>
      </c>
      <c r="I10" s="505">
        <v>0</v>
      </c>
      <c r="J10" s="504">
        <v>0</v>
      </c>
      <c r="K10" s="506">
        <v>0</v>
      </c>
      <c r="L10" s="507">
        <f>B10+D10+F10+H10</f>
        <v>76</v>
      </c>
      <c r="M10" s="506">
        <f>C10+E10+G10+I10+K10</f>
        <v>703.8</v>
      </c>
    </row>
    <row r="11" spans="1:13">
      <c r="A11" s="448" t="s">
        <v>85</v>
      </c>
      <c r="B11" s="504">
        <v>25</v>
      </c>
      <c r="C11" s="505">
        <v>49</v>
      </c>
      <c r="D11" s="504">
        <v>422</v>
      </c>
      <c r="E11" s="505">
        <v>12056</v>
      </c>
      <c r="F11" s="504">
        <v>0</v>
      </c>
      <c r="G11" s="505">
        <v>0</v>
      </c>
      <c r="H11" s="504">
        <v>50</v>
      </c>
      <c r="I11" s="505">
        <v>87</v>
      </c>
      <c r="J11" s="504">
        <v>0</v>
      </c>
      <c r="K11" s="506">
        <v>0</v>
      </c>
      <c r="L11" s="507">
        <f t="shared" si="0"/>
        <v>497</v>
      </c>
      <c r="M11" s="506">
        <f t="shared" si="0"/>
        <v>12192</v>
      </c>
    </row>
    <row r="12" spans="1:13">
      <c r="A12" s="448" t="s">
        <v>17</v>
      </c>
      <c r="B12" s="504">
        <v>57</v>
      </c>
      <c r="C12" s="505">
        <v>45.75</v>
      </c>
      <c r="D12" s="504">
        <v>401</v>
      </c>
      <c r="E12" s="505">
        <v>259.20999999999998</v>
      </c>
      <c r="F12" s="504">
        <v>0</v>
      </c>
      <c r="G12" s="505">
        <v>0</v>
      </c>
      <c r="H12" s="504">
        <v>126</v>
      </c>
      <c r="I12" s="505">
        <v>170.52</v>
      </c>
      <c r="J12" s="504">
        <v>0</v>
      </c>
      <c r="K12" s="505">
        <v>0</v>
      </c>
      <c r="L12" s="507">
        <f t="shared" si="0"/>
        <v>584</v>
      </c>
      <c r="M12" s="506">
        <f t="shared" si="0"/>
        <v>475.48</v>
      </c>
    </row>
    <row r="13" spans="1:13">
      <c r="A13" s="105" t="s">
        <v>26</v>
      </c>
      <c r="B13" s="682">
        <v>3</v>
      </c>
      <c r="C13" s="683">
        <v>1.55</v>
      </c>
      <c r="D13" s="682">
        <v>17</v>
      </c>
      <c r="E13" s="683">
        <v>61.23</v>
      </c>
      <c r="F13" s="682">
        <v>0</v>
      </c>
      <c r="G13" s="683">
        <v>0</v>
      </c>
      <c r="H13" s="682">
        <v>31</v>
      </c>
      <c r="I13" s="683">
        <v>127.32</v>
      </c>
      <c r="J13" s="682">
        <v>0</v>
      </c>
      <c r="K13" s="352">
        <v>0</v>
      </c>
      <c r="L13" s="684">
        <f t="shared" si="0"/>
        <v>51</v>
      </c>
      <c r="M13" s="352">
        <f t="shared" si="0"/>
        <v>190.1</v>
      </c>
    </row>
    <row r="14" spans="1:13">
      <c r="A14" s="1044" t="s">
        <v>11</v>
      </c>
      <c r="B14" s="1226">
        <v>0</v>
      </c>
      <c r="C14" s="1227">
        <v>0</v>
      </c>
      <c r="D14" s="1226">
        <v>19</v>
      </c>
      <c r="E14" s="1227">
        <v>133.94</v>
      </c>
      <c r="F14" s="1226">
        <v>3</v>
      </c>
      <c r="G14" s="1227">
        <v>31.06</v>
      </c>
      <c r="H14" s="1226">
        <v>2</v>
      </c>
      <c r="I14" s="1227">
        <v>19.61</v>
      </c>
      <c r="J14" s="1226">
        <v>0</v>
      </c>
      <c r="K14" s="1228">
        <v>0</v>
      </c>
      <c r="L14" s="1229">
        <f t="shared" si="0"/>
        <v>24</v>
      </c>
      <c r="M14" s="1228">
        <f t="shared" si="0"/>
        <v>184.61</v>
      </c>
    </row>
    <row r="15" spans="1:13">
      <c r="A15" s="1044" t="s">
        <v>90</v>
      </c>
      <c r="B15" s="1226">
        <v>1</v>
      </c>
      <c r="C15" s="1227">
        <v>0.09</v>
      </c>
      <c r="D15" s="1226">
        <v>215</v>
      </c>
      <c r="E15" s="1227">
        <v>1456.93</v>
      </c>
      <c r="F15" s="1226">
        <v>0</v>
      </c>
      <c r="G15" s="1227">
        <v>0</v>
      </c>
      <c r="H15" s="1226"/>
      <c r="I15" s="1227">
        <v>33.75</v>
      </c>
      <c r="J15" s="1226">
        <v>0</v>
      </c>
      <c r="K15" s="1227">
        <v>0</v>
      </c>
      <c r="L15" s="1229">
        <f t="shared" si="0"/>
        <v>216</v>
      </c>
      <c r="M15" s="1228">
        <f t="shared" si="0"/>
        <v>1490.77</v>
      </c>
    </row>
    <row r="16" spans="1:13">
      <c r="A16" s="1044" t="s">
        <v>284</v>
      </c>
      <c r="B16" s="1226">
        <v>0</v>
      </c>
      <c r="C16" s="1227">
        <v>0</v>
      </c>
      <c r="D16" s="1226">
        <v>49</v>
      </c>
      <c r="E16" s="1227">
        <v>1242.5</v>
      </c>
      <c r="F16" s="1226">
        <v>0</v>
      </c>
      <c r="G16" s="1227">
        <v>0</v>
      </c>
      <c r="H16" s="1226">
        <v>32</v>
      </c>
      <c r="I16" s="1227">
        <v>250.08</v>
      </c>
      <c r="J16" s="1226">
        <v>0</v>
      </c>
      <c r="K16" s="1227">
        <v>0</v>
      </c>
      <c r="L16" s="1229">
        <f t="shared" si="0"/>
        <v>81</v>
      </c>
      <c r="M16" s="1228">
        <f t="shared" si="0"/>
        <v>1492.58</v>
      </c>
    </row>
    <row r="17" spans="1:13">
      <c r="A17" s="448" t="s">
        <v>51</v>
      </c>
      <c r="B17" s="504">
        <v>2</v>
      </c>
      <c r="C17" s="505">
        <v>9.85</v>
      </c>
      <c r="D17" s="504">
        <v>57</v>
      </c>
      <c r="E17" s="505">
        <v>255.94</v>
      </c>
      <c r="F17" s="504">
        <v>0</v>
      </c>
      <c r="G17" s="505">
        <v>0</v>
      </c>
      <c r="H17" s="504">
        <v>4</v>
      </c>
      <c r="I17" s="505">
        <v>18.03</v>
      </c>
      <c r="J17" s="504">
        <v>0</v>
      </c>
      <c r="K17" s="506">
        <v>0</v>
      </c>
      <c r="L17" s="507">
        <f t="shared" si="0"/>
        <v>63</v>
      </c>
      <c r="M17" s="506">
        <f t="shared" si="0"/>
        <v>283.82000000000005</v>
      </c>
    </row>
    <row r="18" spans="1:13">
      <c r="A18" s="1044" t="s">
        <v>52</v>
      </c>
      <c r="B18" s="1226">
        <v>0</v>
      </c>
      <c r="C18" s="1227">
        <v>0</v>
      </c>
      <c r="D18" s="1226">
        <v>16</v>
      </c>
      <c r="E18" s="1227">
        <v>11.71</v>
      </c>
      <c r="F18" s="1226">
        <v>0</v>
      </c>
      <c r="G18" s="1227">
        <v>0</v>
      </c>
      <c r="H18" s="1226">
        <v>2</v>
      </c>
      <c r="I18" s="1227">
        <v>15.92</v>
      </c>
      <c r="J18" s="1226">
        <v>0</v>
      </c>
      <c r="K18" s="1228">
        <v>0</v>
      </c>
      <c r="L18" s="1229">
        <f t="shared" si="0"/>
        <v>18</v>
      </c>
      <c r="M18" s="1228">
        <f t="shared" si="0"/>
        <v>27.630000000000003</v>
      </c>
    </row>
    <row r="19" spans="1:13">
      <c r="A19" s="1044" t="s">
        <v>28</v>
      </c>
      <c r="B19" s="1226">
        <v>84</v>
      </c>
      <c r="C19" s="1227">
        <v>48</v>
      </c>
      <c r="D19" s="1226">
        <v>2061</v>
      </c>
      <c r="E19" s="1227">
        <v>205</v>
      </c>
      <c r="F19" s="1226">
        <v>19</v>
      </c>
      <c r="G19" s="1227">
        <v>21</v>
      </c>
      <c r="H19" s="1226">
        <v>60</v>
      </c>
      <c r="I19" s="1227">
        <v>46</v>
      </c>
      <c r="J19" s="1226">
        <v>0</v>
      </c>
      <c r="K19" s="1228">
        <v>0</v>
      </c>
      <c r="L19" s="1229">
        <f>B19+D19+F19+H19+J19</f>
        <v>2224</v>
      </c>
      <c r="M19" s="1228">
        <f t="shared" si="0"/>
        <v>320</v>
      </c>
    </row>
    <row r="20" spans="1:13">
      <c r="A20" s="105" t="s">
        <v>10</v>
      </c>
      <c r="B20" s="682">
        <v>189</v>
      </c>
      <c r="C20" s="683">
        <v>268</v>
      </c>
      <c r="D20" s="682">
        <v>11817</v>
      </c>
      <c r="E20" s="683">
        <v>20412</v>
      </c>
      <c r="F20" s="682">
        <v>33</v>
      </c>
      <c r="G20" s="683">
        <v>71.05</v>
      </c>
      <c r="H20" s="682">
        <v>3256</v>
      </c>
      <c r="I20" s="683">
        <v>7941.3</v>
      </c>
      <c r="J20" s="682">
        <v>0</v>
      </c>
      <c r="K20" s="683">
        <v>0</v>
      </c>
      <c r="L20" s="684">
        <f t="shared" si="0"/>
        <v>15295</v>
      </c>
      <c r="M20" s="352">
        <f t="shared" si="0"/>
        <v>28692.35</v>
      </c>
    </row>
    <row r="21" spans="1:13">
      <c r="A21" s="448" t="s">
        <v>53</v>
      </c>
      <c r="B21" s="504">
        <v>28</v>
      </c>
      <c r="C21" s="505">
        <v>39.11</v>
      </c>
      <c r="D21" s="504">
        <v>284</v>
      </c>
      <c r="E21" s="505">
        <v>350.34</v>
      </c>
      <c r="F21" s="504">
        <v>0</v>
      </c>
      <c r="G21" s="505">
        <v>0</v>
      </c>
      <c r="H21" s="504">
        <v>6</v>
      </c>
      <c r="I21" s="505">
        <v>5.94</v>
      </c>
      <c r="J21" s="504">
        <v>0</v>
      </c>
      <c r="K21" s="505">
        <v>0</v>
      </c>
      <c r="L21" s="507">
        <f t="shared" si="0"/>
        <v>318</v>
      </c>
      <c r="M21" s="506">
        <f t="shared" si="0"/>
        <v>395.39</v>
      </c>
    </row>
    <row r="22" spans="1:13">
      <c r="A22" s="448" t="s">
        <v>35</v>
      </c>
      <c r="B22" s="504">
        <v>4</v>
      </c>
      <c r="C22" s="505">
        <v>9.61</v>
      </c>
      <c r="D22" s="504">
        <v>30</v>
      </c>
      <c r="E22" s="505">
        <v>53.8</v>
      </c>
      <c r="F22" s="504">
        <v>0</v>
      </c>
      <c r="G22" s="505">
        <v>0</v>
      </c>
      <c r="H22" s="504">
        <v>109</v>
      </c>
      <c r="I22" s="505">
        <v>73.680000000000007</v>
      </c>
      <c r="J22" s="504">
        <v>0</v>
      </c>
      <c r="K22" s="505">
        <v>0</v>
      </c>
      <c r="L22" s="507">
        <f>B22+D22+F22+H22+J22</f>
        <v>143</v>
      </c>
      <c r="M22" s="506">
        <f>C22+E22+G22+I22+K22</f>
        <v>137.09</v>
      </c>
    </row>
    <row r="23" spans="1:13">
      <c r="A23" s="448" t="s">
        <v>54</v>
      </c>
      <c r="B23" s="504">
        <v>37</v>
      </c>
      <c r="C23" s="505">
        <v>140</v>
      </c>
      <c r="D23" s="504">
        <v>307</v>
      </c>
      <c r="E23" s="505">
        <v>1276.18</v>
      </c>
      <c r="F23" s="504">
        <v>2</v>
      </c>
      <c r="G23" s="505">
        <v>4</v>
      </c>
      <c r="H23" s="504">
        <v>64</v>
      </c>
      <c r="I23" s="505">
        <v>116.75</v>
      </c>
      <c r="J23" s="504">
        <v>0</v>
      </c>
      <c r="K23" s="505">
        <v>0</v>
      </c>
      <c r="L23" s="507">
        <f>B23+D23+F23+H23+J23</f>
        <v>410</v>
      </c>
      <c r="M23" s="506">
        <f>C23+E23+G23+I23+K23</f>
        <v>1536.93</v>
      </c>
    </row>
    <row r="24" spans="1:13">
      <c r="A24" s="1044" t="s">
        <v>285</v>
      </c>
      <c r="B24" s="1226">
        <v>0</v>
      </c>
      <c r="C24" s="1227">
        <v>0</v>
      </c>
      <c r="D24" s="1226">
        <v>15</v>
      </c>
      <c r="E24" s="1227">
        <v>38</v>
      </c>
      <c r="F24" s="1226">
        <v>0</v>
      </c>
      <c r="G24" s="1227">
        <v>0</v>
      </c>
      <c r="H24" s="1226">
        <v>0</v>
      </c>
      <c r="I24" s="1227">
        <v>0</v>
      </c>
      <c r="J24" s="1226">
        <v>0</v>
      </c>
      <c r="K24" s="1227">
        <v>0</v>
      </c>
      <c r="L24" s="1229">
        <f t="shared" si="0"/>
        <v>15</v>
      </c>
      <c r="M24" s="1228">
        <f t="shared" si="0"/>
        <v>38</v>
      </c>
    </row>
    <row r="25" spans="1:13">
      <c r="A25" s="1044" t="s">
        <v>23</v>
      </c>
      <c r="B25" s="1226">
        <v>36</v>
      </c>
      <c r="C25" s="1227">
        <v>160.49</v>
      </c>
      <c r="D25" s="1226">
        <v>831</v>
      </c>
      <c r="E25" s="1227">
        <v>6033.14</v>
      </c>
      <c r="F25" s="1226">
        <v>3</v>
      </c>
      <c r="G25" s="1227">
        <v>10</v>
      </c>
      <c r="H25" s="1226">
        <v>8</v>
      </c>
      <c r="I25" s="1227">
        <v>25.96</v>
      </c>
      <c r="J25" s="1226">
        <v>0</v>
      </c>
      <c r="K25" s="1227">
        <v>0</v>
      </c>
      <c r="L25" s="1229">
        <f t="shared" si="0"/>
        <v>878</v>
      </c>
      <c r="M25" s="1228">
        <f t="shared" si="0"/>
        <v>6229.59</v>
      </c>
    </row>
    <row r="26" spans="1:13">
      <c r="A26" s="1044" t="s">
        <v>106</v>
      </c>
      <c r="B26" s="1226">
        <v>0</v>
      </c>
      <c r="C26" s="1227">
        <v>0</v>
      </c>
      <c r="D26" s="1226">
        <v>0</v>
      </c>
      <c r="E26" s="1227">
        <v>0</v>
      </c>
      <c r="F26" s="1226">
        <v>0</v>
      </c>
      <c r="G26" s="1227">
        <v>0</v>
      </c>
      <c r="H26" s="1226">
        <v>0</v>
      </c>
      <c r="I26" s="1227">
        <v>0</v>
      </c>
      <c r="J26" s="1226">
        <v>0</v>
      </c>
      <c r="K26" s="1228">
        <v>0</v>
      </c>
      <c r="L26" s="1229">
        <f t="shared" si="0"/>
        <v>0</v>
      </c>
      <c r="M26" s="1228">
        <f t="shared" si="0"/>
        <v>0</v>
      </c>
    </row>
    <row r="27" spans="1:13">
      <c r="A27" s="1044" t="s">
        <v>108</v>
      </c>
      <c r="B27" s="1226">
        <v>0</v>
      </c>
      <c r="C27" s="1227">
        <v>0</v>
      </c>
      <c r="D27" s="1226">
        <v>8</v>
      </c>
      <c r="E27" s="1227">
        <v>40.130000000000003</v>
      </c>
      <c r="F27" s="1226">
        <v>0</v>
      </c>
      <c r="G27" s="1227">
        <v>0</v>
      </c>
      <c r="H27" s="1226">
        <v>0</v>
      </c>
      <c r="I27" s="1227">
        <v>0</v>
      </c>
      <c r="J27" s="1226">
        <v>0</v>
      </c>
      <c r="K27" s="1228">
        <v>0</v>
      </c>
      <c r="L27" s="1229">
        <v>0</v>
      </c>
      <c r="M27" s="1228">
        <f t="shared" ref="M27" si="1">C27+E27+G27+I27+K27</f>
        <v>40.130000000000003</v>
      </c>
    </row>
    <row r="28" spans="1:13">
      <c r="A28" s="1230" t="s">
        <v>340</v>
      </c>
      <c r="B28" s="1231">
        <f t="shared" ref="B28:M28" si="2">SUM(B6:B27)</f>
        <v>490</v>
      </c>
      <c r="C28" s="1232">
        <f t="shared" si="2"/>
        <v>882.2</v>
      </c>
      <c r="D28" s="1231">
        <f t="shared" si="2"/>
        <v>17499</v>
      </c>
      <c r="E28" s="1232">
        <f t="shared" si="2"/>
        <v>49441.959999999992</v>
      </c>
      <c r="F28" s="1231">
        <f t="shared" si="2"/>
        <v>60</v>
      </c>
      <c r="G28" s="1232">
        <f t="shared" si="2"/>
        <v>137.11000000000001</v>
      </c>
      <c r="H28" s="1231">
        <f t="shared" si="2"/>
        <v>3757</v>
      </c>
      <c r="I28" s="1232">
        <f t="shared" si="2"/>
        <v>8954.91</v>
      </c>
      <c r="J28" s="1231">
        <f t="shared" si="2"/>
        <v>0</v>
      </c>
      <c r="K28" s="1232">
        <f t="shared" si="2"/>
        <v>0</v>
      </c>
      <c r="L28" s="1231">
        <f t="shared" si="2"/>
        <v>21798</v>
      </c>
      <c r="M28" s="1232">
        <f t="shared" si="2"/>
        <v>59416.18</v>
      </c>
    </row>
    <row r="29" spans="1:13">
      <c r="A29" s="1044" t="s">
        <v>16</v>
      </c>
      <c r="B29" s="1226">
        <v>0</v>
      </c>
      <c r="C29" s="1227">
        <v>0</v>
      </c>
      <c r="D29" s="1226">
        <v>0</v>
      </c>
      <c r="E29" s="1227">
        <v>0</v>
      </c>
      <c r="F29" s="1226">
        <v>0</v>
      </c>
      <c r="G29" s="1227">
        <v>0</v>
      </c>
      <c r="H29" s="1226">
        <v>0</v>
      </c>
      <c r="I29" s="1227">
        <v>0</v>
      </c>
      <c r="J29" s="1226">
        <v>0</v>
      </c>
      <c r="K29" s="1228">
        <v>0</v>
      </c>
      <c r="L29" s="1229">
        <f>B29+D29+F29+H29+J29</f>
        <v>0</v>
      </c>
      <c r="M29" s="1228">
        <f>C29+E29+G29+I29+K29</f>
        <v>0</v>
      </c>
    </row>
    <row r="30" spans="1:13">
      <c r="A30" s="1044" t="s">
        <v>12</v>
      </c>
      <c r="B30" s="1226">
        <v>0</v>
      </c>
      <c r="C30" s="1227">
        <v>0</v>
      </c>
      <c r="D30" s="1226">
        <v>0</v>
      </c>
      <c r="E30" s="1227">
        <v>0</v>
      </c>
      <c r="F30" s="1226">
        <v>0</v>
      </c>
      <c r="G30" s="1227">
        <v>0</v>
      </c>
      <c r="H30" s="1226">
        <v>0</v>
      </c>
      <c r="I30" s="1227">
        <v>0</v>
      </c>
      <c r="J30" s="1226">
        <v>0</v>
      </c>
      <c r="K30" s="1228">
        <v>0</v>
      </c>
      <c r="L30" s="1229">
        <f>B30+D30+F30+H30+J30</f>
        <v>0</v>
      </c>
      <c r="M30" s="1228">
        <f>C30+E30+G30+I30+K30</f>
        <v>0</v>
      </c>
    </row>
    <row r="31" spans="1:13">
      <c r="A31" s="844" t="s">
        <v>63</v>
      </c>
      <c r="B31" s="1231">
        <f t="shared" ref="B31:M31" si="3">B28+B29+B30</f>
        <v>490</v>
      </c>
      <c r="C31" s="1232">
        <f t="shared" si="3"/>
        <v>882.2</v>
      </c>
      <c r="D31" s="1231">
        <f t="shared" si="3"/>
        <v>17499</v>
      </c>
      <c r="E31" s="1232">
        <f t="shared" si="3"/>
        <v>49441.959999999992</v>
      </c>
      <c r="F31" s="1231">
        <f t="shared" si="3"/>
        <v>60</v>
      </c>
      <c r="G31" s="1232">
        <f t="shared" si="3"/>
        <v>137.11000000000001</v>
      </c>
      <c r="H31" s="1231">
        <f t="shared" si="3"/>
        <v>3757</v>
      </c>
      <c r="I31" s="1232">
        <f t="shared" si="3"/>
        <v>8954.91</v>
      </c>
      <c r="J31" s="1231">
        <f t="shared" si="3"/>
        <v>0</v>
      </c>
      <c r="K31" s="1232">
        <f t="shared" si="3"/>
        <v>0</v>
      </c>
      <c r="L31" s="1231">
        <f t="shared" si="3"/>
        <v>21798</v>
      </c>
      <c r="M31" s="1232">
        <f t="shared" si="3"/>
        <v>59416.18</v>
      </c>
    </row>
    <row r="32" spans="1:13">
      <c r="A32" s="845" t="s">
        <v>341</v>
      </c>
      <c r="B32" s="1233">
        <v>486</v>
      </c>
      <c r="C32" s="1227">
        <v>879.43</v>
      </c>
      <c r="D32" s="1226">
        <v>17498</v>
      </c>
      <c r="E32" s="1227">
        <v>49392.35</v>
      </c>
      <c r="F32" s="1226">
        <v>67</v>
      </c>
      <c r="G32" s="1227">
        <v>137.43</v>
      </c>
      <c r="H32" s="1226">
        <v>3707</v>
      </c>
      <c r="I32" s="1227">
        <v>8852.15</v>
      </c>
      <c r="J32" s="1226">
        <v>0</v>
      </c>
      <c r="K32" s="1228">
        <v>0</v>
      </c>
      <c r="L32" s="1229">
        <v>21758</v>
      </c>
      <c r="M32" s="1228">
        <v>59261.36</v>
      </c>
    </row>
  </sheetData>
  <mergeCells count="10"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</mergeCells>
  <printOptions gridLines="1"/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G1"/>
    </sheetView>
  </sheetViews>
  <sheetFormatPr defaultRowHeight="15"/>
  <sheetData>
    <row r="1" spans="1:7">
      <c r="A1" s="1494">
        <v>30</v>
      </c>
      <c r="B1" s="1494"/>
      <c r="C1" s="1494"/>
      <c r="D1" s="1494"/>
      <c r="E1" s="1494"/>
      <c r="F1" s="1494"/>
      <c r="G1" s="1494"/>
    </row>
    <row r="2" spans="1:7" ht="15.75">
      <c r="A2" s="1531" t="s">
        <v>288</v>
      </c>
      <c r="B2" s="1531"/>
      <c r="C2" s="1531"/>
      <c r="D2" s="1531"/>
      <c r="E2" s="1531"/>
      <c r="F2" s="1531"/>
      <c r="G2" s="1531"/>
    </row>
    <row r="3" spans="1:7" ht="15.75">
      <c r="A3" s="741"/>
      <c r="B3" s="1531" t="s">
        <v>573</v>
      </c>
      <c r="C3" s="1531"/>
      <c r="D3" s="1531"/>
      <c r="E3" s="1531"/>
      <c r="F3" s="1531"/>
      <c r="G3" s="1531"/>
    </row>
    <row r="4" spans="1:7" ht="57.75">
      <c r="A4" s="237" t="s">
        <v>130</v>
      </c>
      <c r="B4" s="237" t="s">
        <v>289</v>
      </c>
      <c r="C4" s="237" t="s">
        <v>243</v>
      </c>
      <c r="D4" s="237" t="s">
        <v>290</v>
      </c>
      <c r="E4" s="237" t="s">
        <v>291</v>
      </c>
      <c r="F4" s="237" t="s">
        <v>292</v>
      </c>
      <c r="G4" s="237" t="s">
        <v>293</v>
      </c>
    </row>
    <row r="5" spans="1:7">
      <c r="A5" s="1234">
        <v>1</v>
      </c>
      <c r="B5" s="1235" t="s">
        <v>78</v>
      </c>
      <c r="C5" s="1234">
        <v>50</v>
      </c>
      <c r="D5" s="1234">
        <v>2</v>
      </c>
      <c r="E5" s="646">
        <v>1</v>
      </c>
      <c r="F5" s="1234">
        <v>10</v>
      </c>
      <c r="G5" s="646">
        <v>4.5</v>
      </c>
    </row>
    <row r="6" spans="1:7">
      <c r="A6" s="1234">
        <v>2</v>
      </c>
      <c r="B6" s="1235" t="s">
        <v>27</v>
      </c>
      <c r="C6" s="1234">
        <v>20</v>
      </c>
      <c r="D6" s="1234">
        <v>0</v>
      </c>
      <c r="E6" s="646">
        <v>0</v>
      </c>
      <c r="F6" s="1234">
        <v>0</v>
      </c>
      <c r="G6" s="646">
        <v>0</v>
      </c>
    </row>
    <row r="7" spans="1:7">
      <c r="A7" s="1234">
        <v>3</v>
      </c>
      <c r="B7" s="1235" t="s">
        <v>46</v>
      </c>
      <c r="C7" s="1234">
        <v>50</v>
      </c>
      <c r="D7" s="1234">
        <v>2</v>
      </c>
      <c r="E7" s="646">
        <v>1</v>
      </c>
      <c r="F7" s="1234">
        <v>15</v>
      </c>
      <c r="G7" s="646">
        <v>5</v>
      </c>
    </row>
    <row r="8" spans="1:7">
      <c r="A8" s="1234">
        <v>4</v>
      </c>
      <c r="B8" s="1235" t="s">
        <v>32</v>
      </c>
      <c r="C8" s="1234">
        <v>200</v>
      </c>
      <c r="D8" s="1234">
        <v>12</v>
      </c>
      <c r="E8" s="646">
        <v>8.2200000000000006</v>
      </c>
      <c r="F8" s="1234">
        <v>722</v>
      </c>
      <c r="G8" s="646">
        <v>541.79999999999995</v>
      </c>
    </row>
    <row r="9" spans="1:7">
      <c r="A9" s="1234">
        <v>5</v>
      </c>
      <c r="B9" s="1235" t="s">
        <v>83</v>
      </c>
      <c r="C9" s="1234">
        <v>20</v>
      </c>
      <c r="D9" s="1234">
        <v>0</v>
      </c>
      <c r="E9" s="646">
        <v>0</v>
      </c>
      <c r="F9" s="1234">
        <v>0</v>
      </c>
      <c r="G9" s="646">
        <v>0</v>
      </c>
    </row>
    <row r="10" spans="1:7">
      <c r="A10" s="1234">
        <v>6</v>
      </c>
      <c r="B10" s="1235" t="s">
        <v>85</v>
      </c>
      <c r="C10" s="1234">
        <v>200</v>
      </c>
      <c r="D10" s="1234">
        <v>11</v>
      </c>
      <c r="E10" s="646">
        <v>3.5</v>
      </c>
      <c r="F10" s="1234">
        <v>95</v>
      </c>
      <c r="G10" s="646">
        <v>64.099999999999994</v>
      </c>
    </row>
    <row r="11" spans="1:7">
      <c r="A11" s="1234">
        <v>7</v>
      </c>
      <c r="B11" s="1235" t="s">
        <v>17</v>
      </c>
      <c r="C11" s="1234">
        <v>400</v>
      </c>
      <c r="D11" s="1234">
        <v>26</v>
      </c>
      <c r="E11" s="646">
        <v>10</v>
      </c>
      <c r="F11" s="1234">
        <v>1150</v>
      </c>
      <c r="G11" s="646">
        <v>490</v>
      </c>
    </row>
    <row r="12" spans="1:7">
      <c r="A12" s="1234">
        <v>8</v>
      </c>
      <c r="B12" s="1235" t="s">
        <v>26</v>
      </c>
      <c r="C12" s="1234">
        <v>20</v>
      </c>
      <c r="D12" s="1234">
        <v>3</v>
      </c>
      <c r="E12" s="646">
        <v>15.48</v>
      </c>
      <c r="F12" s="1234">
        <v>11</v>
      </c>
      <c r="G12" s="646">
        <v>27.27</v>
      </c>
    </row>
    <row r="13" spans="1:7">
      <c r="A13" s="1234">
        <v>9</v>
      </c>
      <c r="B13" s="1235" t="s">
        <v>11</v>
      </c>
      <c r="C13" s="1234">
        <v>20</v>
      </c>
      <c r="D13" s="1234">
        <v>0</v>
      </c>
      <c r="E13" s="646">
        <v>0</v>
      </c>
      <c r="F13" s="1234">
        <v>0</v>
      </c>
      <c r="G13" s="646">
        <v>0</v>
      </c>
    </row>
    <row r="14" spans="1:7">
      <c r="A14" s="1234">
        <v>10</v>
      </c>
      <c r="B14" s="1235" t="s">
        <v>90</v>
      </c>
      <c r="C14" s="1234">
        <v>50</v>
      </c>
      <c r="D14" s="1234">
        <v>0</v>
      </c>
      <c r="E14" s="646">
        <v>0</v>
      </c>
      <c r="F14" s="1234">
        <v>90</v>
      </c>
      <c r="G14" s="646">
        <v>44.1</v>
      </c>
    </row>
    <row r="15" spans="1:7">
      <c r="A15" s="1234">
        <v>11</v>
      </c>
      <c r="B15" s="1235" t="s">
        <v>92</v>
      </c>
      <c r="C15" s="1234">
        <v>20</v>
      </c>
      <c r="D15" s="1234">
        <v>0</v>
      </c>
      <c r="E15" s="646">
        <v>0</v>
      </c>
      <c r="F15" s="1234">
        <v>0</v>
      </c>
      <c r="G15" s="646">
        <v>0</v>
      </c>
    </row>
    <row r="16" spans="1:7">
      <c r="A16" s="1234">
        <v>12</v>
      </c>
      <c r="B16" s="1235" t="s">
        <v>51</v>
      </c>
      <c r="C16" s="1234">
        <v>20</v>
      </c>
      <c r="D16" s="1234">
        <v>0</v>
      </c>
      <c r="E16" s="646">
        <v>0</v>
      </c>
      <c r="F16" s="1234">
        <v>0</v>
      </c>
      <c r="G16" s="646">
        <v>0</v>
      </c>
    </row>
    <row r="17" spans="1:7">
      <c r="A17" s="1234">
        <v>13</v>
      </c>
      <c r="B17" s="1235" t="s">
        <v>52</v>
      </c>
      <c r="C17" s="1234">
        <v>20</v>
      </c>
      <c r="D17" s="1234">
        <v>0</v>
      </c>
      <c r="E17" s="646">
        <v>0</v>
      </c>
      <c r="F17" s="1234">
        <v>0</v>
      </c>
      <c r="G17" s="646">
        <v>0</v>
      </c>
    </row>
    <row r="18" spans="1:7">
      <c r="A18" s="1234">
        <v>14</v>
      </c>
      <c r="B18" s="1235" t="s">
        <v>28</v>
      </c>
      <c r="C18" s="1234">
        <v>400</v>
      </c>
      <c r="D18" s="1234">
        <v>0</v>
      </c>
      <c r="E18" s="646">
        <v>0</v>
      </c>
      <c r="F18" s="1234">
        <v>2269</v>
      </c>
      <c r="G18" s="646">
        <v>1268.99</v>
      </c>
    </row>
    <row r="19" spans="1:7">
      <c r="A19" s="1234">
        <v>15</v>
      </c>
      <c r="B19" s="1235" t="s">
        <v>10</v>
      </c>
      <c r="C19" s="1234">
        <v>3000</v>
      </c>
      <c r="D19" s="1234">
        <v>219</v>
      </c>
      <c r="E19" s="646">
        <v>148.15</v>
      </c>
      <c r="F19" s="1234">
        <v>3131</v>
      </c>
      <c r="G19" s="646">
        <v>1825.67</v>
      </c>
    </row>
    <row r="20" spans="1:7">
      <c r="A20" s="1234">
        <v>16</v>
      </c>
      <c r="B20" s="1235" t="s">
        <v>98</v>
      </c>
      <c r="C20" s="1234">
        <v>50</v>
      </c>
      <c r="D20" s="1234">
        <v>8</v>
      </c>
      <c r="E20" s="646">
        <v>4.57</v>
      </c>
      <c r="F20" s="1234">
        <v>236</v>
      </c>
      <c r="G20" s="646">
        <v>161.35</v>
      </c>
    </row>
    <row r="21" spans="1:7">
      <c r="A21" s="435">
        <v>17</v>
      </c>
      <c r="B21" s="465" t="s">
        <v>35</v>
      </c>
      <c r="C21" s="435">
        <v>200</v>
      </c>
      <c r="D21" s="435">
        <v>5</v>
      </c>
      <c r="E21" s="354">
        <v>4.4000000000000004</v>
      </c>
      <c r="F21" s="435">
        <v>188</v>
      </c>
      <c r="G21" s="354">
        <v>139.72</v>
      </c>
    </row>
    <row r="22" spans="1:7">
      <c r="A22" s="1234">
        <v>18</v>
      </c>
      <c r="B22" s="1235" t="s">
        <v>54</v>
      </c>
      <c r="C22" s="1234">
        <v>100</v>
      </c>
      <c r="D22" s="1234">
        <v>4</v>
      </c>
      <c r="E22" s="646">
        <v>1</v>
      </c>
      <c r="F22" s="1234">
        <v>121</v>
      </c>
      <c r="G22" s="646">
        <v>209.9</v>
      </c>
    </row>
    <row r="23" spans="1:7">
      <c r="A23" s="1234">
        <v>19</v>
      </c>
      <c r="B23" s="1235" t="s">
        <v>102</v>
      </c>
      <c r="C23" s="1234">
        <v>50</v>
      </c>
      <c r="D23" s="1234">
        <v>3</v>
      </c>
      <c r="E23" s="646">
        <v>0.9</v>
      </c>
      <c r="F23" s="1234">
        <v>80</v>
      </c>
      <c r="G23" s="646">
        <v>60.5</v>
      </c>
    </row>
    <row r="24" spans="1:7">
      <c r="A24" s="1234">
        <v>20</v>
      </c>
      <c r="B24" s="1235" t="s">
        <v>104</v>
      </c>
      <c r="C24" s="1234">
        <v>200</v>
      </c>
      <c r="D24" s="1234">
        <v>1</v>
      </c>
      <c r="E24" s="646">
        <v>3</v>
      </c>
      <c r="F24" s="1234">
        <v>6</v>
      </c>
      <c r="G24" s="646">
        <v>6</v>
      </c>
    </row>
    <row r="25" spans="1:7">
      <c r="A25" s="1234">
        <v>21</v>
      </c>
      <c r="B25" s="1235" t="s">
        <v>106</v>
      </c>
      <c r="C25" s="1234">
        <v>20</v>
      </c>
      <c r="D25" s="1234">
        <v>0</v>
      </c>
      <c r="E25" s="646">
        <v>0</v>
      </c>
      <c r="F25" s="1234">
        <v>0</v>
      </c>
      <c r="G25" s="646">
        <v>0</v>
      </c>
    </row>
    <row r="26" spans="1:7">
      <c r="A26" s="1234">
        <v>22</v>
      </c>
      <c r="B26" s="1235" t="s">
        <v>108</v>
      </c>
      <c r="C26" s="1234">
        <v>20</v>
      </c>
      <c r="D26" s="1234">
        <v>0</v>
      </c>
      <c r="E26" s="646">
        <v>0</v>
      </c>
      <c r="F26" s="1234">
        <v>0</v>
      </c>
      <c r="G26" s="646">
        <v>0</v>
      </c>
    </row>
    <row r="27" spans="1:7">
      <c r="A27" s="1234">
        <v>23</v>
      </c>
      <c r="B27" s="1235" t="s">
        <v>294</v>
      </c>
      <c r="C27" s="1234">
        <v>20</v>
      </c>
      <c r="D27" s="1234">
        <v>0</v>
      </c>
      <c r="E27" s="646">
        <v>0</v>
      </c>
      <c r="F27" s="1234">
        <v>0</v>
      </c>
      <c r="G27" s="646">
        <v>0</v>
      </c>
    </row>
    <row r="28" spans="1:7">
      <c r="A28" s="1236" t="s">
        <v>113</v>
      </c>
      <c r="B28" s="1237" t="s">
        <v>13</v>
      </c>
      <c r="C28" s="1236">
        <f>SUM(C5:C27)</f>
        <v>5150</v>
      </c>
      <c r="D28" s="1236">
        <f>SUM(D5:D27)</f>
        <v>296</v>
      </c>
      <c r="E28" s="1238">
        <f>SUM(E5:E27)</f>
        <v>201.22000000000003</v>
      </c>
      <c r="F28" s="1236">
        <f>SUM(F5:F27)</f>
        <v>8124</v>
      </c>
      <c r="G28" s="1239">
        <f>SUM(G5:G27)</f>
        <v>4848.9000000000005</v>
      </c>
    </row>
    <row r="29" spans="1:7">
      <c r="A29" s="1234">
        <v>1</v>
      </c>
      <c r="B29" s="1235" t="s">
        <v>16</v>
      </c>
      <c r="C29" s="1234">
        <v>1000</v>
      </c>
      <c r="D29" s="1234">
        <v>801</v>
      </c>
      <c r="E29" s="1240">
        <v>968.56</v>
      </c>
      <c r="F29" s="1234">
        <v>3338</v>
      </c>
      <c r="G29" s="646">
        <v>2187.96</v>
      </c>
    </row>
    <row r="30" spans="1:7">
      <c r="A30" s="1234">
        <v>1</v>
      </c>
      <c r="B30" s="1235" t="s">
        <v>110</v>
      </c>
      <c r="C30" s="1234">
        <v>500</v>
      </c>
      <c r="D30" s="1234">
        <v>123</v>
      </c>
      <c r="E30" s="1240">
        <v>158</v>
      </c>
      <c r="F30" s="1234">
        <v>695</v>
      </c>
      <c r="G30" s="646">
        <v>502.17</v>
      </c>
    </row>
    <row r="31" spans="1:7">
      <c r="A31" s="1236" t="s">
        <v>135</v>
      </c>
      <c r="B31" s="1237" t="s">
        <v>13</v>
      </c>
      <c r="C31" s="1236">
        <f>SUM(C28:C30)</f>
        <v>6650</v>
      </c>
      <c r="D31" s="1236">
        <f>SUM(D28:D30)</f>
        <v>1220</v>
      </c>
      <c r="E31" s="1238">
        <f>SUM(E28:E30)</f>
        <v>1327.78</v>
      </c>
      <c r="F31" s="1236">
        <f>SUM(F28:F30)</f>
        <v>12157</v>
      </c>
      <c r="G31" s="1238">
        <f>SUM(G28:G30)</f>
        <v>7539.0300000000007</v>
      </c>
    </row>
    <row r="32" spans="1:7">
      <c r="A32" s="1241"/>
      <c r="B32" s="1242"/>
      <c r="C32" s="1241"/>
      <c r="D32" s="1241" t="s">
        <v>295</v>
      </c>
      <c r="E32" s="1243"/>
      <c r="F32" s="1241"/>
      <c r="G32" s="1243"/>
    </row>
    <row r="33" spans="1:7">
      <c r="A33" s="1234"/>
      <c r="B33" s="1237" t="s">
        <v>13</v>
      </c>
      <c r="C33" s="1236">
        <v>6650</v>
      </c>
      <c r="D33" s="1236">
        <v>652</v>
      </c>
      <c r="E33" s="1239">
        <v>714.83</v>
      </c>
      <c r="F33" s="1236">
        <v>13779</v>
      </c>
      <c r="G33" s="1239">
        <v>8408.01</v>
      </c>
    </row>
  </sheetData>
  <mergeCells count="3">
    <mergeCell ref="A1:G1"/>
    <mergeCell ref="A2:G2"/>
    <mergeCell ref="B3:G3"/>
  </mergeCells>
  <printOptions gridLines="1"/>
  <pageMargins left="0.7" right="0.7" top="0.75" bottom="0.75" header="0.3" footer="0.3"/>
  <pageSetup scale="12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sqref="A1:O1"/>
    </sheetView>
  </sheetViews>
  <sheetFormatPr defaultRowHeight="15"/>
  <sheetData>
    <row r="1" spans="1:15">
      <c r="A1" s="1532">
        <v>31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</row>
    <row r="2" spans="1:15" ht="23.25">
      <c r="A2" s="1533" t="s">
        <v>342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  <c r="M2" s="1533"/>
      <c r="N2" s="270"/>
      <c r="O2" s="270"/>
    </row>
    <row r="3" spans="1:15" ht="15.75">
      <c r="A3" s="172"/>
      <c r="B3" s="172"/>
      <c r="C3" s="172"/>
      <c r="D3" s="172"/>
      <c r="E3" s="1534" t="s">
        <v>602</v>
      </c>
      <c r="F3" s="1534"/>
      <c r="G3" s="1534"/>
      <c r="H3" s="1534"/>
      <c r="I3" s="1534"/>
      <c r="J3" s="172"/>
      <c r="K3" s="172"/>
      <c r="L3" s="271"/>
      <c r="M3" s="1535" t="s">
        <v>3</v>
      </c>
      <c r="N3" s="1535"/>
      <c r="O3" s="1535"/>
    </row>
    <row r="4" spans="1:15">
      <c r="A4" s="1536" t="s">
        <v>343</v>
      </c>
      <c r="B4" s="1537" t="s">
        <v>344</v>
      </c>
      <c r="C4" s="1537"/>
      <c r="D4" s="1537"/>
      <c r="E4" s="1537"/>
      <c r="F4" s="1537" t="s">
        <v>345</v>
      </c>
      <c r="G4" s="1537"/>
      <c r="H4" s="1537"/>
      <c r="I4" s="1538"/>
      <c r="J4" s="1539" t="s">
        <v>346</v>
      </c>
      <c r="K4" s="1539"/>
      <c r="L4" s="1539"/>
      <c r="M4" s="1540"/>
      <c r="N4" s="1541" t="s">
        <v>347</v>
      </c>
      <c r="O4" s="1541"/>
    </row>
    <row r="5" spans="1:15">
      <c r="A5" s="1536"/>
      <c r="B5" s="1542" t="s">
        <v>348</v>
      </c>
      <c r="C5" s="1542"/>
      <c r="D5" s="1543" t="s">
        <v>349</v>
      </c>
      <c r="E5" s="1543"/>
      <c r="F5" s="1542" t="s">
        <v>348</v>
      </c>
      <c r="G5" s="1542"/>
      <c r="H5" s="1543" t="s">
        <v>349</v>
      </c>
      <c r="I5" s="1543"/>
      <c r="J5" s="1544" t="s">
        <v>348</v>
      </c>
      <c r="K5" s="1544"/>
      <c r="L5" s="1545" t="s">
        <v>349</v>
      </c>
      <c r="M5" s="1546"/>
      <c r="N5" s="1541"/>
      <c r="O5" s="1541"/>
    </row>
    <row r="6" spans="1:15">
      <c r="A6" s="1536"/>
      <c r="B6" s="1030" t="s">
        <v>282</v>
      </c>
      <c r="C6" s="1030" t="s">
        <v>350</v>
      </c>
      <c r="D6" s="1030" t="s">
        <v>282</v>
      </c>
      <c r="E6" s="1030" t="s">
        <v>350</v>
      </c>
      <c r="F6" s="1030" t="s">
        <v>282</v>
      </c>
      <c r="G6" s="1030" t="s">
        <v>350</v>
      </c>
      <c r="H6" s="1030" t="s">
        <v>282</v>
      </c>
      <c r="I6" s="1030" t="s">
        <v>350</v>
      </c>
      <c r="J6" s="1030" t="s">
        <v>282</v>
      </c>
      <c r="K6" s="1030" t="s">
        <v>350</v>
      </c>
      <c r="L6" s="1030" t="s">
        <v>282</v>
      </c>
      <c r="M6" s="1030" t="s">
        <v>350</v>
      </c>
      <c r="N6" s="1031" t="s">
        <v>282</v>
      </c>
      <c r="O6" s="1031" t="s">
        <v>350</v>
      </c>
    </row>
    <row r="7" spans="1:15">
      <c r="A7" s="539" t="s">
        <v>78</v>
      </c>
      <c r="B7" s="540">
        <v>17</v>
      </c>
      <c r="C7" s="541">
        <v>30</v>
      </c>
      <c r="D7" s="540">
        <v>71</v>
      </c>
      <c r="E7" s="541">
        <v>750.32</v>
      </c>
      <c r="F7" s="540">
        <v>15</v>
      </c>
      <c r="G7" s="541">
        <v>238</v>
      </c>
      <c r="H7" s="540">
        <v>131</v>
      </c>
      <c r="I7" s="541">
        <v>2717</v>
      </c>
      <c r="J7" s="540">
        <v>0</v>
      </c>
      <c r="K7" s="541">
        <v>0</v>
      </c>
      <c r="L7" s="540">
        <v>0</v>
      </c>
      <c r="M7" s="541">
        <v>0</v>
      </c>
      <c r="N7" s="540">
        <f>D7+H7+L7</f>
        <v>202</v>
      </c>
      <c r="O7" s="541">
        <f>E7+I7+M7</f>
        <v>3467.32</v>
      </c>
    </row>
    <row r="8" spans="1:15">
      <c r="A8" s="1244" t="s">
        <v>27</v>
      </c>
      <c r="B8" s="1245">
        <v>15</v>
      </c>
      <c r="C8" s="1246">
        <v>22.64</v>
      </c>
      <c r="D8" s="1245">
        <v>15</v>
      </c>
      <c r="E8" s="1246">
        <v>22.64</v>
      </c>
      <c r="F8" s="1245">
        <v>2</v>
      </c>
      <c r="G8" s="1246">
        <v>1350.11</v>
      </c>
      <c r="H8" s="1245">
        <v>5</v>
      </c>
      <c r="I8" s="1246">
        <v>1705.01</v>
      </c>
      <c r="J8" s="1245">
        <v>0</v>
      </c>
      <c r="K8" s="1246">
        <v>0</v>
      </c>
      <c r="L8" s="1245">
        <v>0</v>
      </c>
      <c r="M8" s="1246">
        <v>0</v>
      </c>
      <c r="N8" s="1245">
        <f t="shared" ref="N8:O32" si="0">D8+H8+L8</f>
        <v>20</v>
      </c>
      <c r="O8" s="1246">
        <f t="shared" si="0"/>
        <v>1727.65</v>
      </c>
    </row>
    <row r="9" spans="1:15">
      <c r="A9" s="1244" t="s">
        <v>46</v>
      </c>
      <c r="B9" s="1245">
        <v>3</v>
      </c>
      <c r="C9" s="1246">
        <v>8.1999999999999993</v>
      </c>
      <c r="D9" s="1245">
        <v>91</v>
      </c>
      <c r="E9" s="1246">
        <v>190.05</v>
      </c>
      <c r="F9" s="1245">
        <v>0</v>
      </c>
      <c r="G9" s="1246">
        <v>0</v>
      </c>
      <c r="H9" s="1245">
        <v>8</v>
      </c>
      <c r="I9" s="1246">
        <v>134.5</v>
      </c>
      <c r="J9" s="1245">
        <v>0</v>
      </c>
      <c r="K9" s="1246">
        <v>0</v>
      </c>
      <c r="L9" s="1245">
        <v>0</v>
      </c>
      <c r="M9" s="1246">
        <v>0</v>
      </c>
      <c r="N9" s="1245">
        <f t="shared" si="0"/>
        <v>99</v>
      </c>
      <c r="O9" s="1246">
        <f t="shared" si="0"/>
        <v>324.55</v>
      </c>
    </row>
    <row r="10" spans="1:15">
      <c r="A10" s="1247" t="s">
        <v>32</v>
      </c>
      <c r="B10" s="1248">
        <v>29</v>
      </c>
      <c r="C10" s="1249">
        <v>45.77</v>
      </c>
      <c r="D10" s="1248">
        <v>86</v>
      </c>
      <c r="E10" s="1249">
        <v>145.74</v>
      </c>
      <c r="F10" s="1248">
        <v>2</v>
      </c>
      <c r="G10" s="1249">
        <v>16</v>
      </c>
      <c r="H10" s="1248">
        <v>2</v>
      </c>
      <c r="I10" s="1249">
        <v>16</v>
      </c>
      <c r="J10" s="1248">
        <v>0</v>
      </c>
      <c r="K10" s="1249">
        <v>0</v>
      </c>
      <c r="L10" s="1248">
        <v>0</v>
      </c>
      <c r="M10" s="1249">
        <v>0</v>
      </c>
      <c r="N10" s="1248">
        <f t="shared" si="0"/>
        <v>88</v>
      </c>
      <c r="O10" s="1249">
        <f t="shared" si="0"/>
        <v>161.74</v>
      </c>
    </row>
    <row r="11" spans="1:15">
      <c r="A11" s="1244" t="s">
        <v>83</v>
      </c>
      <c r="B11" s="1245">
        <v>19</v>
      </c>
      <c r="C11" s="1246">
        <v>59.2</v>
      </c>
      <c r="D11" s="1245">
        <v>36</v>
      </c>
      <c r="E11" s="1246">
        <v>346.87</v>
      </c>
      <c r="F11" s="1245">
        <v>0</v>
      </c>
      <c r="G11" s="1246">
        <v>0</v>
      </c>
      <c r="H11" s="1245">
        <v>3</v>
      </c>
      <c r="I11" s="1246">
        <v>85.45</v>
      </c>
      <c r="J11" s="1245">
        <v>0</v>
      </c>
      <c r="K11" s="1246">
        <v>0</v>
      </c>
      <c r="L11" s="1245">
        <v>0</v>
      </c>
      <c r="M11" s="1246">
        <v>0</v>
      </c>
      <c r="N11" s="1245">
        <f t="shared" si="0"/>
        <v>39</v>
      </c>
      <c r="O11" s="1246">
        <f t="shared" si="0"/>
        <v>432.32</v>
      </c>
    </row>
    <row r="12" spans="1:15">
      <c r="A12" s="539" t="s">
        <v>85</v>
      </c>
      <c r="B12" s="540">
        <v>351</v>
      </c>
      <c r="C12" s="541">
        <v>1066.3699999999999</v>
      </c>
      <c r="D12" s="540">
        <v>1409</v>
      </c>
      <c r="E12" s="541">
        <v>2898.99</v>
      </c>
      <c r="F12" s="540">
        <v>121</v>
      </c>
      <c r="G12" s="541">
        <v>903.37</v>
      </c>
      <c r="H12" s="540">
        <v>257</v>
      </c>
      <c r="I12" s="541">
        <v>3142.42</v>
      </c>
      <c r="J12" s="540">
        <v>5</v>
      </c>
      <c r="K12" s="541">
        <v>998.29</v>
      </c>
      <c r="L12" s="540">
        <v>6</v>
      </c>
      <c r="M12" s="541">
        <v>1005</v>
      </c>
      <c r="N12" s="540">
        <f t="shared" si="0"/>
        <v>1672</v>
      </c>
      <c r="O12" s="541">
        <f t="shared" si="0"/>
        <v>7046.41</v>
      </c>
    </row>
    <row r="13" spans="1:15">
      <c r="A13" s="539" t="s">
        <v>17</v>
      </c>
      <c r="B13" s="540">
        <v>54</v>
      </c>
      <c r="C13" s="541">
        <v>217.86</v>
      </c>
      <c r="D13" s="540">
        <v>473</v>
      </c>
      <c r="E13" s="541">
        <v>641.30999999999995</v>
      </c>
      <c r="F13" s="540">
        <v>2</v>
      </c>
      <c r="G13" s="541">
        <v>8.2200000000000006</v>
      </c>
      <c r="H13" s="540">
        <v>2</v>
      </c>
      <c r="I13" s="541">
        <v>8.2200000000000006</v>
      </c>
      <c r="J13" s="540">
        <v>0</v>
      </c>
      <c r="K13" s="541">
        <v>0</v>
      </c>
      <c r="L13" s="540">
        <v>0</v>
      </c>
      <c r="M13" s="541">
        <v>0</v>
      </c>
      <c r="N13" s="540">
        <f t="shared" si="0"/>
        <v>475</v>
      </c>
      <c r="O13" s="541">
        <f t="shared" si="0"/>
        <v>649.53</v>
      </c>
    </row>
    <row r="14" spans="1:15">
      <c r="A14" s="539" t="s">
        <v>26</v>
      </c>
      <c r="B14" s="540">
        <v>12</v>
      </c>
      <c r="C14" s="541">
        <v>258.39999999999998</v>
      </c>
      <c r="D14" s="540">
        <v>73</v>
      </c>
      <c r="E14" s="541">
        <v>395.23</v>
      </c>
      <c r="F14" s="540">
        <v>11</v>
      </c>
      <c r="G14" s="541">
        <v>130.46</v>
      </c>
      <c r="H14" s="540">
        <v>53</v>
      </c>
      <c r="I14" s="541">
        <v>348.16</v>
      </c>
      <c r="J14" s="540">
        <v>2</v>
      </c>
      <c r="K14" s="541">
        <v>24.26</v>
      </c>
      <c r="L14" s="540">
        <v>2</v>
      </c>
      <c r="M14" s="541">
        <v>24.26</v>
      </c>
      <c r="N14" s="540">
        <f t="shared" si="0"/>
        <v>128</v>
      </c>
      <c r="O14" s="541">
        <f t="shared" si="0"/>
        <v>767.65000000000009</v>
      </c>
    </row>
    <row r="15" spans="1:15">
      <c r="A15" s="499" t="s">
        <v>11</v>
      </c>
      <c r="B15" s="500">
        <v>10</v>
      </c>
      <c r="C15" s="501">
        <v>87.64</v>
      </c>
      <c r="D15" s="500">
        <v>18</v>
      </c>
      <c r="E15" s="501">
        <v>147.6</v>
      </c>
      <c r="F15" s="500">
        <v>3</v>
      </c>
      <c r="G15" s="501">
        <v>43.89</v>
      </c>
      <c r="H15" s="500">
        <v>3</v>
      </c>
      <c r="I15" s="501">
        <v>41.85</v>
      </c>
      <c r="J15" s="500">
        <v>0</v>
      </c>
      <c r="K15" s="501">
        <v>0</v>
      </c>
      <c r="L15" s="500">
        <v>0</v>
      </c>
      <c r="M15" s="501">
        <v>0</v>
      </c>
      <c r="N15" s="500">
        <f t="shared" si="0"/>
        <v>21</v>
      </c>
      <c r="O15" s="501">
        <f t="shared" si="0"/>
        <v>189.45</v>
      </c>
    </row>
    <row r="16" spans="1:15">
      <c r="A16" s="539" t="s">
        <v>90</v>
      </c>
      <c r="B16" s="540">
        <v>7</v>
      </c>
      <c r="C16" s="541">
        <v>25.2</v>
      </c>
      <c r="D16" s="540">
        <v>161</v>
      </c>
      <c r="E16" s="541">
        <v>1175.2</v>
      </c>
      <c r="F16" s="540">
        <v>0</v>
      </c>
      <c r="G16" s="541">
        <v>0</v>
      </c>
      <c r="H16" s="540">
        <v>12</v>
      </c>
      <c r="I16" s="541">
        <v>587.15</v>
      </c>
      <c r="J16" s="540">
        <v>0</v>
      </c>
      <c r="K16" s="541">
        <v>0</v>
      </c>
      <c r="L16" s="540">
        <v>2</v>
      </c>
      <c r="M16" s="541">
        <v>574.88</v>
      </c>
      <c r="N16" s="540">
        <f>D16+H16+L16</f>
        <v>175</v>
      </c>
      <c r="O16" s="541">
        <f>E16+I16+M16</f>
        <v>2337.23</v>
      </c>
    </row>
    <row r="17" spans="1:15">
      <c r="A17" s="539" t="s">
        <v>284</v>
      </c>
      <c r="B17" s="540">
        <v>11</v>
      </c>
      <c r="C17" s="541">
        <v>200</v>
      </c>
      <c r="D17" s="540">
        <v>18</v>
      </c>
      <c r="E17" s="541">
        <v>220</v>
      </c>
      <c r="F17" s="540">
        <v>17</v>
      </c>
      <c r="G17" s="541">
        <v>100.67</v>
      </c>
      <c r="H17" s="540">
        <v>64</v>
      </c>
      <c r="I17" s="541">
        <v>1311.56</v>
      </c>
      <c r="J17" s="540">
        <v>0</v>
      </c>
      <c r="K17" s="541">
        <v>0</v>
      </c>
      <c r="L17" s="540">
        <v>0</v>
      </c>
      <c r="M17" s="541">
        <v>0</v>
      </c>
      <c r="N17" s="540">
        <f t="shared" si="0"/>
        <v>82</v>
      </c>
      <c r="O17" s="541">
        <f t="shared" si="0"/>
        <v>1531.56</v>
      </c>
    </row>
    <row r="18" spans="1:15">
      <c r="A18" s="1244" t="s">
        <v>51</v>
      </c>
      <c r="B18" s="1245">
        <v>6</v>
      </c>
      <c r="C18" s="1246">
        <v>40</v>
      </c>
      <c r="D18" s="1245">
        <v>27</v>
      </c>
      <c r="E18" s="1246">
        <v>99.7</v>
      </c>
      <c r="F18" s="1245">
        <v>0</v>
      </c>
      <c r="G18" s="1246">
        <v>0</v>
      </c>
      <c r="H18" s="1245">
        <v>0</v>
      </c>
      <c r="I18" s="1246">
        <v>0</v>
      </c>
      <c r="J18" s="1245">
        <v>0</v>
      </c>
      <c r="K18" s="1246">
        <v>0</v>
      </c>
      <c r="L18" s="1245">
        <v>0</v>
      </c>
      <c r="M18" s="1246">
        <v>0</v>
      </c>
      <c r="N18" s="1245">
        <f t="shared" si="0"/>
        <v>27</v>
      </c>
      <c r="O18" s="1246">
        <f t="shared" si="0"/>
        <v>99.7</v>
      </c>
    </row>
    <row r="19" spans="1:15">
      <c r="A19" s="539" t="s">
        <v>52</v>
      </c>
      <c r="B19" s="540">
        <v>13</v>
      </c>
      <c r="C19" s="541">
        <v>43.5</v>
      </c>
      <c r="D19" s="540">
        <v>45</v>
      </c>
      <c r="E19" s="541">
        <v>65.13</v>
      </c>
      <c r="F19" s="540">
        <v>0</v>
      </c>
      <c r="G19" s="541">
        <v>0</v>
      </c>
      <c r="H19" s="540">
        <v>0</v>
      </c>
      <c r="I19" s="541">
        <v>0</v>
      </c>
      <c r="J19" s="540">
        <v>0</v>
      </c>
      <c r="K19" s="541">
        <v>0</v>
      </c>
      <c r="L19" s="540">
        <v>0</v>
      </c>
      <c r="M19" s="541">
        <v>0</v>
      </c>
      <c r="N19" s="540">
        <f>D19+H19+L19</f>
        <v>45</v>
      </c>
      <c r="O19" s="541">
        <f t="shared" si="0"/>
        <v>65.13</v>
      </c>
    </row>
    <row r="20" spans="1:15">
      <c r="A20" s="499" t="s">
        <v>28</v>
      </c>
      <c r="B20" s="500">
        <v>23</v>
      </c>
      <c r="C20" s="501">
        <v>102.9</v>
      </c>
      <c r="D20" s="500">
        <v>271</v>
      </c>
      <c r="E20" s="501">
        <v>621.66</v>
      </c>
      <c r="F20" s="500">
        <v>0</v>
      </c>
      <c r="G20" s="501">
        <v>0</v>
      </c>
      <c r="H20" s="500">
        <v>67</v>
      </c>
      <c r="I20" s="501">
        <v>374</v>
      </c>
      <c r="J20" s="500">
        <v>0</v>
      </c>
      <c r="K20" s="501">
        <v>0</v>
      </c>
      <c r="L20" s="500">
        <v>0</v>
      </c>
      <c r="M20" s="501">
        <v>0</v>
      </c>
      <c r="N20" s="500">
        <f t="shared" si="0"/>
        <v>338</v>
      </c>
      <c r="O20" s="501">
        <f>E20+I20+M20</f>
        <v>995.66</v>
      </c>
    </row>
    <row r="21" spans="1:15">
      <c r="A21" s="1247" t="s">
        <v>10</v>
      </c>
      <c r="B21" s="1248">
        <v>99</v>
      </c>
      <c r="C21" s="1249">
        <v>716.02</v>
      </c>
      <c r="D21" s="1248">
        <v>4051</v>
      </c>
      <c r="E21" s="1249">
        <v>13269.23</v>
      </c>
      <c r="F21" s="1248">
        <v>13</v>
      </c>
      <c r="G21" s="1249">
        <v>210</v>
      </c>
      <c r="H21" s="1248">
        <v>191</v>
      </c>
      <c r="I21" s="1249">
        <v>2850.7</v>
      </c>
      <c r="J21" s="1248">
        <v>0</v>
      </c>
      <c r="K21" s="1249">
        <v>0</v>
      </c>
      <c r="L21" s="1248">
        <v>7</v>
      </c>
      <c r="M21" s="1249">
        <v>19862</v>
      </c>
      <c r="N21" s="1248">
        <v>4266</v>
      </c>
      <c r="O21" s="1249">
        <f>E21+I21+M21</f>
        <v>35981.93</v>
      </c>
    </row>
    <row r="22" spans="1:15">
      <c r="A22" s="1244" t="s">
        <v>53</v>
      </c>
      <c r="B22" s="1245">
        <v>58</v>
      </c>
      <c r="C22" s="1246">
        <v>104.23</v>
      </c>
      <c r="D22" s="1245">
        <v>149</v>
      </c>
      <c r="E22" s="1246">
        <v>375.37</v>
      </c>
      <c r="F22" s="1245">
        <v>0</v>
      </c>
      <c r="G22" s="1246">
        <v>0</v>
      </c>
      <c r="H22" s="1245">
        <v>1</v>
      </c>
      <c r="I22" s="1246">
        <v>80</v>
      </c>
      <c r="J22" s="1245">
        <v>0</v>
      </c>
      <c r="K22" s="1246">
        <v>0</v>
      </c>
      <c r="L22" s="1245">
        <v>0</v>
      </c>
      <c r="M22" s="1246">
        <v>0</v>
      </c>
      <c r="N22" s="1245">
        <f t="shared" si="0"/>
        <v>150</v>
      </c>
      <c r="O22" s="1246">
        <f t="shared" si="0"/>
        <v>455.37</v>
      </c>
    </row>
    <row r="23" spans="1:15">
      <c r="A23" s="499" t="s">
        <v>35</v>
      </c>
      <c r="B23" s="500">
        <v>19</v>
      </c>
      <c r="C23" s="501">
        <v>91.78</v>
      </c>
      <c r="D23" s="500">
        <v>173</v>
      </c>
      <c r="E23" s="501">
        <v>936</v>
      </c>
      <c r="F23" s="500">
        <v>8</v>
      </c>
      <c r="G23" s="501">
        <v>65.5</v>
      </c>
      <c r="H23" s="500">
        <v>48</v>
      </c>
      <c r="I23" s="501">
        <v>258.27</v>
      </c>
      <c r="J23" s="500">
        <v>0</v>
      </c>
      <c r="K23" s="501">
        <v>0</v>
      </c>
      <c r="L23" s="500">
        <v>0</v>
      </c>
      <c r="M23" s="501">
        <v>0</v>
      </c>
      <c r="N23" s="500">
        <f>D23+H23+L23</f>
        <v>221</v>
      </c>
      <c r="O23" s="501">
        <f>E23+I23+M23</f>
        <v>1194.27</v>
      </c>
    </row>
    <row r="24" spans="1:15">
      <c r="A24" s="1244" t="s">
        <v>54</v>
      </c>
      <c r="B24" s="1245">
        <v>21</v>
      </c>
      <c r="C24" s="1246">
        <v>38</v>
      </c>
      <c r="D24" s="1245">
        <v>282</v>
      </c>
      <c r="E24" s="1246">
        <v>907.06</v>
      </c>
      <c r="F24" s="1245">
        <v>15</v>
      </c>
      <c r="G24" s="1246">
        <v>15.44</v>
      </c>
      <c r="H24" s="1245">
        <v>114</v>
      </c>
      <c r="I24" s="1246">
        <v>2979.4</v>
      </c>
      <c r="J24" s="1245">
        <v>0</v>
      </c>
      <c r="K24" s="1246">
        <v>0</v>
      </c>
      <c r="L24" s="1245">
        <v>6</v>
      </c>
      <c r="M24" s="1246">
        <v>1537.59</v>
      </c>
      <c r="N24" s="1245">
        <v>400</v>
      </c>
      <c r="O24" s="1246">
        <v>5483.35</v>
      </c>
    </row>
    <row r="25" spans="1:15">
      <c r="A25" s="1244" t="s">
        <v>285</v>
      </c>
      <c r="B25" s="1245">
        <v>26</v>
      </c>
      <c r="C25" s="1246">
        <v>87.22</v>
      </c>
      <c r="D25" s="1245">
        <v>106</v>
      </c>
      <c r="E25" s="1246">
        <v>240.49</v>
      </c>
      <c r="F25" s="1245">
        <v>0</v>
      </c>
      <c r="G25" s="1246">
        <v>0</v>
      </c>
      <c r="H25" s="1245">
        <v>0</v>
      </c>
      <c r="I25" s="1246">
        <v>0</v>
      </c>
      <c r="J25" s="1245">
        <v>0</v>
      </c>
      <c r="K25" s="1246">
        <v>0</v>
      </c>
      <c r="L25" s="1245">
        <v>0</v>
      </c>
      <c r="M25" s="1246">
        <v>0</v>
      </c>
      <c r="N25" s="1245">
        <f t="shared" si="0"/>
        <v>106</v>
      </c>
      <c r="O25" s="1246">
        <f t="shared" si="0"/>
        <v>240.49</v>
      </c>
    </row>
    <row r="26" spans="1:15">
      <c r="A26" s="499" t="s">
        <v>23</v>
      </c>
      <c r="B26" s="500">
        <v>109</v>
      </c>
      <c r="C26" s="501">
        <v>989.94</v>
      </c>
      <c r="D26" s="500">
        <v>764</v>
      </c>
      <c r="E26" s="501">
        <v>5206.8900000000003</v>
      </c>
      <c r="F26" s="500">
        <v>0</v>
      </c>
      <c r="G26" s="501">
        <v>0</v>
      </c>
      <c r="H26" s="500">
        <v>179</v>
      </c>
      <c r="I26" s="501">
        <v>5357.05</v>
      </c>
      <c r="J26" s="500">
        <v>0</v>
      </c>
      <c r="K26" s="501">
        <v>0</v>
      </c>
      <c r="L26" s="500">
        <v>33</v>
      </c>
      <c r="M26" s="501">
        <v>454.61</v>
      </c>
      <c r="N26" s="500">
        <f t="shared" si="0"/>
        <v>976</v>
      </c>
      <c r="O26" s="501">
        <f t="shared" si="0"/>
        <v>11018.550000000001</v>
      </c>
    </row>
    <row r="27" spans="1:15">
      <c r="A27" s="1244" t="s">
        <v>106</v>
      </c>
      <c r="B27" s="1245">
        <v>0</v>
      </c>
      <c r="C27" s="1246">
        <v>0</v>
      </c>
      <c r="D27" s="1245">
        <v>0</v>
      </c>
      <c r="E27" s="1246">
        <v>0</v>
      </c>
      <c r="F27" s="1245">
        <v>0</v>
      </c>
      <c r="G27" s="1246">
        <v>0</v>
      </c>
      <c r="H27" s="1245">
        <v>0</v>
      </c>
      <c r="I27" s="1246">
        <v>0</v>
      </c>
      <c r="J27" s="1245">
        <v>0</v>
      </c>
      <c r="K27" s="1246">
        <v>0</v>
      </c>
      <c r="L27" s="1245">
        <v>0</v>
      </c>
      <c r="M27" s="1246">
        <v>0</v>
      </c>
      <c r="N27" s="1245">
        <f t="shared" si="0"/>
        <v>0</v>
      </c>
      <c r="O27" s="1246">
        <f t="shared" si="0"/>
        <v>0</v>
      </c>
    </row>
    <row r="28" spans="1:15">
      <c r="A28" s="1244" t="s">
        <v>108</v>
      </c>
      <c r="B28" s="1245">
        <v>24</v>
      </c>
      <c r="C28" s="1246">
        <v>181.27</v>
      </c>
      <c r="D28" s="1245">
        <v>29</v>
      </c>
      <c r="E28" s="1246">
        <v>170.17</v>
      </c>
      <c r="F28" s="1245">
        <v>9</v>
      </c>
      <c r="G28" s="1246">
        <v>111.1</v>
      </c>
      <c r="H28" s="1245">
        <v>15</v>
      </c>
      <c r="I28" s="1246">
        <v>414.91</v>
      </c>
      <c r="J28" s="1245">
        <v>2</v>
      </c>
      <c r="K28" s="1246">
        <v>290</v>
      </c>
      <c r="L28" s="1245">
        <v>2</v>
      </c>
      <c r="M28" s="1246">
        <v>289.89999999999998</v>
      </c>
      <c r="N28" s="1245">
        <f t="shared" si="0"/>
        <v>46</v>
      </c>
      <c r="O28" s="1246">
        <f t="shared" si="0"/>
        <v>874.98</v>
      </c>
    </row>
    <row r="29" spans="1:15">
      <c r="A29" s="1244" t="s">
        <v>60</v>
      </c>
      <c r="B29" s="1245">
        <v>0</v>
      </c>
      <c r="C29" s="1246">
        <v>0</v>
      </c>
      <c r="D29" s="1245">
        <v>0</v>
      </c>
      <c r="E29" s="1246">
        <v>0</v>
      </c>
      <c r="F29" s="1245">
        <v>0</v>
      </c>
      <c r="G29" s="1246">
        <v>0</v>
      </c>
      <c r="H29" s="1245">
        <v>0</v>
      </c>
      <c r="I29" s="1246">
        <v>0</v>
      </c>
      <c r="J29" s="1245">
        <v>0</v>
      </c>
      <c r="K29" s="1246">
        <v>0</v>
      </c>
      <c r="L29" s="1245">
        <v>0</v>
      </c>
      <c r="M29" s="1246">
        <v>0</v>
      </c>
      <c r="N29" s="1245">
        <f t="shared" si="0"/>
        <v>0</v>
      </c>
      <c r="O29" s="1246">
        <f t="shared" si="0"/>
        <v>0</v>
      </c>
    </row>
    <row r="30" spans="1:15">
      <c r="A30" s="1244" t="s">
        <v>59</v>
      </c>
      <c r="B30" s="1245">
        <v>0</v>
      </c>
      <c r="C30" s="1246">
        <v>0</v>
      </c>
      <c r="D30" s="1245">
        <v>0</v>
      </c>
      <c r="E30" s="1246">
        <v>0</v>
      </c>
      <c r="F30" s="1245">
        <v>0</v>
      </c>
      <c r="G30" s="1246">
        <v>0</v>
      </c>
      <c r="H30" s="1245">
        <v>0</v>
      </c>
      <c r="I30" s="1246">
        <v>0</v>
      </c>
      <c r="J30" s="1245">
        <v>0</v>
      </c>
      <c r="K30" s="1246">
        <v>0</v>
      </c>
      <c r="L30" s="1245">
        <v>0</v>
      </c>
      <c r="M30" s="1246">
        <v>0</v>
      </c>
      <c r="N30" s="1245">
        <v>0</v>
      </c>
      <c r="O30" s="1246">
        <f t="shared" si="0"/>
        <v>0</v>
      </c>
    </row>
    <row r="31" spans="1:15">
      <c r="A31" s="1250" t="s">
        <v>340</v>
      </c>
      <c r="B31" s="1251">
        <f t="shared" ref="B31:O31" si="1">SUM(B7:B30)</f>
        <v>926</v>
      </c>
      <c r="C31" s="1252">
        <f t="shared" si="1"/>
        <v>4416.1400000000012</v>
      </c>
      <c r="D31" s="1251">
        <f t="shared" si="1"/>
        <v>8348</v>
      </c>
      <c r="E31" s="1252">
        <f t="shared" si="1"/>
        <v>28825.649999999998</v>
      </c>
      <c r="F31" s="1251">
        <f t="shared" si="1"/>
        <v>218</v>
      </c>
      <c r="G31" s="1252">
        <f t="shared" si="1"/>
        <v>3192.7599999999998</v>
      </c>
      <c r="H31" s="1251">
        <f t="shared" si="1"/>
        <v>1155</v>
      </c>
      <c r="I31" s="1252">
        <f t="shared" si="1"/>
        <v>22411.65</v>
      </c>
      <c r="J31" s="1251">
        <f t="shared" si="1"/>
        <v>9</v>
      </c>
      <c r="K31" s="1252">
        <f t="shared" si="1"/>
        <v>1312.55</v>
      </c>
      <c r="L31" s="1251">
        <f t="shared" si="1"/>
        <v>58</v>
      </c>
      <c r="M31" s="1252">
        <f t="shared" si="1"/>
        <v>23748.240000000002</v>
      </c>
      <c r="N31" s="1251">
        <f t="shared" si="1"/>
        <v>9576</v>
      </c>
      <c r="O31" s="1252">
        <f t="shared" si="1"/>
        <v>75044.84</v>
      </c>
    </row>
    <row r="32" spans="1:15">
      <c r="A32" s="499" t="s">
        <v>16</v>
      </c>
      <c r="B32" s="500">
        <v>254</v>
      </c>
      <c r="C32" s="501">
        <v>3174.25</v>
      </c>
      <c r="D32" s="500">
        <v>1342</v>
      </c>
      <c r="E32" s="501">
        <v>8432.4500000000007</v>
      </c>
      <c r="F32" s="500">
        <v>0</v>
      </c>
      <c r="G32" s="501">
        <v>0</v>
      </c>
      <c r="H32" s="500">
        <v>0</v>
      </c>
      <c r="I32" s="501">
        <v>0</v>
      </c>
      <c r="J32" s="500">
        <v>0</v>
      </c>
      <c r="K32" s="501">
        <v>0</v>
      </c>
      <c r="L32" s="500">
        <v>0</v>
      </c>
      <c r="M32" s="501">
        <v>0</v>
      </c>
      <c r="N32" s="500">
        <f t="shared" si="0"/>
        <v>1342</v>
      </c>
      <c r="O32" s="501">
        <f t="shared" si="0"/>
        <v>8432.4500000000007</v>
      </c>
    </row>
    <row r="33" spans="1:15">
      <c r="A33" s="1244" t="s">
        <v>12</v>
      </c>
      <c r="B33" s="1245">
        <v>0</v>
      </c>
      <c r="C33" s="1246">
        <v>0</v>
      </c>
      <c r="D33" s="1245">
        <v>0</v>
      </c>
      <c r="E33" s="1246">
        <v>0</v>
      </c>
      <c r="F33" s="1245">
        <v>0</v>
      </c>
      <c r="G33" s="1246">
        <v>0</v>
      </c>
      <c r="H33" s="1245">
        <v>57</v>
      </c>
      <c r="I33" s="1246">
        <v>333.15</v>
      </c>
      <c r="J33" s="1245">
        <v>0</v>
      </c>
      <c r="K33" s="1246">
        <v>0</v>
      </c>
      <c r="L33" s="1245">
        <v>0</v>
      </c>
      <c r="M33" s="1246">
        <v>0</v>
      </c>
      <c r="N33" s="1245">
        <f>D33+H33+L33</f>
        <v>57</v>
      </c>
      <c r="O33" s="1246">
        <f>E33+I33+M33</f>
        <v>333.15</v>
      </c>
    </row>
    <row r="34" spans="1:15">
      <c r="A34" s="987" t="s">
        <v>63</v>
      </c>
      <c r="B34" s="1251">
        <f t="shared" ref="B34:M34" si="2">B31+B32+B33</f>
        <v>1180</v>
      </c>
      <c r="C34" s="1252">
        <f t="shared" si="2"/>
        <v>7590.3900000000012</v>
      </c>
      <c r="D34" s="1251">
        <f t="shared" si="2"/>
        <v>9690</v>
      </c>
      <c r="E34" s="1252">
        <f t="shared" si="2"/>
        <v>37258.1</v>
      </c>
      <c r="F34" s="1251">
        <f t="shared" si="2"/>
        <v>218</v>
      </c>
      <c r="G34" s="1252">
        <f t="shared" si="2"/>
        <v>3192.7599999999998</v>
      </c>
      <c r="H34" s="1251">
        <f t="shared" si="2"/>
        <v>1212</v>
      </c>
      <c r="I34" s="1252">
        <f t="shared" si="2"/>
        <v>22744.800000000003</v>
      </c>
      <c r="J34" s="1251">
        <f t="shared" si="2"/>
        <v>9</v>
      </c>
      <c r="K34" s="1252">
        <f t="shared" si="2"/>
        <v>1312.55</v>
      </c>
      <c r="L34" s="1251">
        <f t="shared" si="2"/>
        <v>58</v>
      </c>
      <c r="M34" s="1252">
        <f t="shared" si="2"/>
        <v>23748.240000000002</v>
      </c>
      <c r="N34" s="1251">
        <f>N31+N32+N33</f>
        <v>10975</v>
      </c>
      <c r="O34" s="1252">
        <f>O31+O32+O33</f>
        <v>83810.439999999988</v>
      </c>
    </row>
  </sheetData>
  <mergeCells count="15">
    <mergeCell ref="A1:O1"/>
    <mergeCell ref="A2:M2"/>
    <mergeCell ref="E3:I3"/>
    <mergeCell ref="M3:O3"/>
    <mergeCell ref="A4:A6"/>
    <mergeCell ref="B4:E4"/>
    <mergeCell ref="F4:I4"/>
    <mergeCell ref="J4:M4"/>
    <mergeCell ref="N4:O5"/>
    <mergeCell ref="B5:C5"/>
    <mergeCell ref="D5:E5"/>
    <mergeCell ref="F5:G5"/>
    <mergeCell ref="H5:I5"/>
    <mergeCell ref="J5:K5"/>
    <mergeCell ref="L5:M5"/>
  </mergeCells>
  <printOptions gridLines="1"/>
  <pageMargins left="0.7" right="0.7" top="0.75" bottom="0.75" header="0.3" footer="0.3"/>
  <pageSetup scale="8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sqref="A1:R1"/>
    </sheetView>
  </sheetViews>
  <sheetFormatPr defaultRowHeight="15"/>
  <sheetData>
    <row r="1" spans="1:18">
      <c r="A1" s="1532">
        <v>32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  <c r="P1" s="1532"/>
      <c r="Q1" s="1532"/>
      <c r="R1" s="1532"/>
    </row>
    <row r="2" spans="1:18" ht="20.25">
      <c r="A2" s="1550" t="s">
        <v>326</v>
      </c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</row>
    <row r="3" spans="1:18" ht="15.75">
      <c r="A3" s="741"/>
      <c r="B3" s="741"/>
      <c r="C3" s="741"/>
      <c r="D3" s="741"/>
      <c r="E3" s="741"/>
      <c r="F3" s="741"/>
      <c r="G3" s="1551" t="s">
        <v>602</v>
      </c>
      <c r="H3" s="1551"/>
      <c r="I3" s="1551"/>
      <c r="J3" s="1551"/>
      <c r="K3" s="1551"/>
      <c r="L3" s="1551"/>
      <c r="M3" s="262"/>
      <c r="N3" s="262"/>
      <c r="O3" s="741"/>
      <c r="P3" s="741"/>
      <c r="Q3" s="741"/>
      <c r="R3" s="741"/>
    </row>
    <row r="4" spans="1:18" ht="15.75">
      <c r="A4" s="741"/>
      <c r="B4" s="741"/>
      <c r="C4" s="741"/>
      <c r="D4" s="741"/>
      <c r="E4" s="741"/>
      <c r="F4" s="741"/>
      <c r="G4" s="263"/>
      <c r="H4" s="263"/>
      <c r="I4" s="263"/>
      <c r="J4" s="263"/>
      <c r="K4" s="263"/>
      <c r="L4" s="263"/>
      <c r="M4" s="262"/>
      <c r="N4" s="262"/>
      <c r="O4" s="1552" t="s">
        <v>327</v>
      </c>
      <c r="P4" s="1552"/>
      <c r="Q4" s="1552"/>
      <c r="R4" s="1552"/>
    </row>
    <row r="5" spans="1:18">
      <c r="A5" s="1553" t="s">
        <v>130</v>
      </c>
      <c r="B5" s="1554" t="s">
        <v>131</v>
      </c>
      <c r="C5" s="1555" t="s">
        <v>328</v>
      </c>
      <c r="D5" s="1555"/>
      <c r="E5" s="1555"/>
      <c r="F5" s="1555"/>
      <c r="G5" s="1555"/>
      <c r="H5" s="1555"/>
      <c r="I5" s="1555"/>
      <c r="J5" s="1555"/>
      <c r="K5" s="1541" t="s">
        <v>329</v>
      </c>
      <c r="L5" s="1541"/>
      <c r="M5" s="1541"/>
      <c r="N5" s="1541"/>
      <c r="O5" s="1541"/>
      <c r="P5" s="1541"/>
      <c r="Q5" s="1541"/>
      <c r="R5" s="1541"/>
    </row>
    <row r="6" spans="1:18">
      <c r="A6" s="1553"/>
      <c r="B6" s="1554"/>
      <c r="C6" s="1548" t="s">
        <v>330</v>
      </c>
      <c r="D6" s="1549"/>
      <c r="E6" s="1548" t="s">
        <v>331</v>
      </c>
      <c r="F6" s="1549"/>
      <c r="G6" s="1548" t="s">
        <v>332</v>
      </c>
      <c r="H6" s="1549"/>
      <c r="I6" s="1548" t="s">
        <v>63</v>
      </c>
      <c r="J6" s="1549"/>
      <c r="K6" s="1548" t="s">
        <v>330</v>
      </c>
      <c r="L6" s="1549"/>
      <c r="M6" s="1548" t="s">
        <v>331</v>
      </c>
      <c r="N6" s="1549"/>
      <c r="O6" s="1548" t="s">
        <v>332</v>
      </c>
      <c r="P6" s="1549"/>
      <c r="Q6" s="1548" t="s">
        <v>63</v>
      </c>
      <c r="R6" s="1549"/>
    </row>
    <row r="7" spans="1:18">
      <c r="A7" s="1553"/>
      <c r="B7" s="1554"/>
      <c r="C7" s="264" t="s">
        <v>282</v>
      </c>
      <c r="D7" s="264" t="s">
        <v>283</v>
      </c>
      <c r="E7" s="264" t="s">
        <v>282</v>
      </c>
      <c r="F7" s="264" t="s">
        <v>283</v>
      </c>
      <c r="G7" s="264" t="s">
        <v>282</v>
      </c>
      <c r="H7" s="264" t="s">
        <v>283</v>
      </c>
      <c r="I7" s="264" t="s">
        <v>282</v>
      </c>
      <c r="J7" s="264" t="s">
        <v>283</v>
      </c>
      <c r="K7" s="264" t="s">
        <v>282</v>
      </c>
      <c r="L7" s="264" t="s">
        <v>283</v>
      </c>
      <c r="M7" s="264" t="s">
        <v>282</v>
      </c>
      <c r="N7" s="264" t="s">
        <v>283</v>
      </c>
      <c r="O7" s="264" t="s">
        <v>282</v>
      </c>
      <c r="P7" s="264" t="s">
        <v>283</v>
      </c>
      <c r="Q7" s="264" t="s">
        <v>282</v>
      </c>
      <c r="R7" s="264" t="s">
        <v>283</v>
      </c>
    </row>
    <row r="8" spans="1:18">
      <c r="A8" s="161">
        <v>1</v>
      </c>
      <c r="B8" s="161" t="s">
        <v>78</v>
      </c>
      <c r="C8" s="161">
        <v>0</v>
      </c>
      <c r="D8" s="1253">
        <v>0</v>
      </c>
      <c r="E8" s="161">
        <v>2</v>
      </c>
      <c r="F8" s="1253">
        <v>120</v>
      </c>
      <c r="G8" s="161">
        <v>0</v>
      </c>
      <c r="H8" s="1253">
        <v>0</v>
      </c>
      <c r="I8" s="161">
        <f>C8+E8+G8</f>
        <v>2</v>
      </c>
      <c r="J8" s="1254">
        <f>D8+F8+H8</f>
        <v>120</v>
      </c>
      <c r="K8" s="161">
        <v>0</v>
      </c>
      <c r="L8" s="1253">
        <v>0</v>
      </c>
      <c r="M8" s="161">
        <v>10</v>
      </c>
      <c r="N8" s="1253">
        <v>375</v>
      </c>
      <c r="O8" s="161">
        <v>0</v>
      </c>
      <c r="P8" s="1253">
        <v>0</v>
      </c>
      <c r="Q8" s="161">
        <f>K8+M8+O8</f>
        <v>10</v>
      </c>
      <c r="R8" s="1254">
        <f>L8+N8+P8</f>
        <v>375</v>
      </c>
    </row>
    <row r="9" spans="1:18">
      <c r="A9" s="161">
        <v>2</v>
      </c>
      <c r="B9" s="161" t="s">
        <v>27</v>
      </c>
      <c r="C9" s="161">
        <v>0</v>
      </c>
      <c r="D9" s="1253">
        <v>0</v>
      </c>
      <c r="E9" s="161">
        <v>0</v>
      </c>
      <c r="F9" s="1253">
        <v>0</v>
      </c>
      <c r="G9" s="161">
        <v>0</v>
      </c>
      <c r="H9" s="1253">
        <v>0</v>
      </c>
      <c r="I9" s="161">
        <f t="shared" ref="I9:J34" si="0">C9+E9+G9</f>
        <v>0</v>
      </c>
      <c r="J9" s="1254">
        <f t="shared" si="0"/>
        <v>0</v>
      </c>
      <c r="K9" s="161">
        <v>0</v>
      </c>
      <c r="L9" s="1253">
        <v>0</v>
      </c>
      <c r="M9" s="161">
        <v>1</v>
      </c>
      <c r="N9" s="1253">
        <v>2.88</v>
      </c>
      <c r="O9" s="161">
        <v>0</v>
      </c>
      <c r="P9" s="1253">
        <v>0</v>
      </c>
      <c r="Q9" s="161">
        <f t="shared" ref="Q9:R34" si="1">K9+M9+O9</f>
        <v>1</v>
      </c>
      <c r="R9" s="1254">
        <f t="shared" si="1"/>
        <v>2.88</v>
      </c>
    </row>
    <row r="10" spans="1:18">
      <c r="A10" s="161">
        <v>3</v>
      </c>
      <c r="B10" s="161" t="s">
        <v>46</v>
      </c>
      <c r="C10" s="161">
        <v>0</v>
      </c>
      <c r="D10" s="1253">
        <v>0</v>
      </c>
      <c r="E10" s="161">
        <v>1</v>
      </c>
      <c r="F10" s="1253">
        <v>35</v>
      </c>
      <c r="G10" s="161">
        <v>0</v>
      </c>
      <c r="H10" s="1253">
        <v>0</v>
      </c>
      <c r="I10" s="161">
        <f t="shared" si="0"/>
        <v>1</v>
      </c>
      <c r="J10" s="1254">
        <f t="shared" si="0"/>
        <v>35</v>
      </c>
      <c r="K10" s="161">
        <v>0</v>
      </c>
      <c r="L10" s="1253">
        <v>0</v>
      </c>
      <c r="M10" s="161">
        <v>7</v>
      </c>
      <c r="N10" s="1253">
        <v>98</v>
      </c>
      <c r="O10" s="161">
        <v>0</v>
      </c>
      <c r="P10" s="1253">
        <v>0</v>
      </c>
      <c r="Q10" s="161">
        <f t="shared" si="1"/>
        <v>7</v>
      </c>
      <c r="R10" s="1254">
        <f t="shared" si="1"/>
        <v>98</v>
      </c>
    </row>
    <row r="11" spans="1:18">
      <c r="A11" s="765">
        <v>4</v>
      </c>
      <c r="B11" s="765" t="s">
        <v>32</v>
      </c>
      <c r="C11" s="765">
        <v>0</v>
      </c>
      <c r="D11" s="1124">
        <v>0</v>
      </c>
      <c r="E11" s="765">
        <v>0</v>
      </c>
      <c r="F11" s="1124">
        <v>0</v>
      </c>
      <c r="G11" s="765">
        <v>0</v>
      </c>
      <c r="H11" s="1124">
        <v>0</v>
      </c>
      <c r="I11" s="765">
        <f t="shared" si="0"/>
        <v>0</v>
      </c>
      <c r="J11" s="1255">
        <f t="shared" si="0"/>
        <v>0</v>
      </c>
      <c r="K11" s="765">
        <v>0</v>
      </c>
      <c r="L11" s="1124">
        <v>0</v>
      </c>
      <c r="M11" s="765">
        <v>1</v>
      </c>
      <c r="N11" s="1124">
        <v>24.58</v>
      </c>
      <c r="O11" s="765">
        <v>0</v>
      </c>
      <c r="P11" s="1124">
        <v>0</v>
      </c>
      <c r="Q11" s="765">
        <f t="shared" si="1"/>
        <v>1</v>
      </c>
      <c r="R11" s="1255">
        <f t="shared" si="1"/>
        <v>24.58</v>
      </c>
    </row>
    <row r="12" spans="1:18">
      <c r="A12" s="161">
        <v>5</v>
      </c>
      <c r="B12" s="161" t="s">
        <v>83</v>
      </c>
      <c r="C12" s="161">
        <v>0</v>
      </c>
      <c r="D12" s="1253">
        <v>0</v>
      </c>
      <c r="E12" s="161">
        <v>4</v>
      </c>
      <c r="F12" s="1253">
        <v>142</v>
      </c>
      <c r="G12" s="161">
        <v>0</v>
      </c>
      <c r="H12" s="1253">
        <v>0</v>
      </c>
      <c r="I12" s="161">
        <f t="shared" si="0"/>
        <v>4</v>
      </c>
      <c r="J12" s="1254">
        <f t="shared" si="0"/>
        <v>142</v>
      </c>
      <c r="K12" s="161">
        <v>0</v>
      </c>
      <c r="L12" s="1253">
        <v>0</v>
      </c>
      <c r="M12" s="161">
        <v>17</v>
      </c>
      <c r="N12" s="1253">
        <v>622</v>
      </c>
      <c r="O12" s="161">
        <v>0</v>
      </c>
      <c r="P12" s="1253">
        <v>0</v>
      </c>
      <c r="Q12" s="161">
        <f>K12+M12+O12</f>
        <v>17</v>
      </c>
      <c r="R12" s="1254">
        <f t="shared" si="1"/>
        <v>622</v>
      </c>
    </row>
    <row r="13" spans="1:18">
      <c r="A13" s="168">
        <v>6</v>
      </c>
      <c r="B13" s="168" t="s">
        <v>85</v>
      </c>
      <c r="C13" s="168">
        <v>0</v>
      </c>
      <c r="D13" s="170">
        <v>0</v>
      </c>
      <c r="E13" s="168">
        <v>3</v>
      </c>
      <c r="F13" s="170">
        <v>38</v>
      </c>
      <c r="G13" s="168">
        <v>2</v>
      </c>
      <c r="H13" s="170">
        <v>35</v>
      </c>
      <c r="I13" s="168">
        <f t="shared" si="0"/>
        <v>5</v>
      </c>
      <c r="J13" s="1254">
        <f t="shared" si="0"/>
        <v>73</v>
      </c>
      <c r="K13" s="168">
        <v>0</v>
      </c>
      <c r="L13" s="170">
        <v>0</v>
      </c>
      <c r="M13" s="168">
        <v>11</v>
      </c>
      <c r="N13" s="170">
        <v>139</v>
      </c>
      <c r="O13" s="168">
        <v>2</v>
      </c>
      <c r="P13" s="170">
        <v>35</v>
      </c>
      <c r="Q13" s="168">
        <f t="shared" si="1"/>
        <v>13</v>
      </c>
      <c r="R13" s="1254">
        <f t="shared" si="1"/>
        <v>174</v>
      </c>
    </row>
    <row r="14" spans="1:18">
      <c r="A14" s="161">
        <v>7</v>
      </c>
      <c r="B14" s="161" t="s">
        <v>17</v>
      </c>
      <c r="C14" s="161">
        <v>0</v>
      </c>
      <c r="D14" s="1253">
        <v>0</v>
      </c>
      <c r="E14" s="161">
        <v>2</v>
      </c>
      <c r="F14" s="1253">
        <v>20</v>
      </c>
      <c r="G14" s="161">
        <v>0</v>
      </c>
      <c r="H14" s="1253">
        <v>0</v>
      </c>
      <c r="I14" s="161">
        <f t="shared" si="0"/>
        <v>2</v>
      </c>
      <c r="J14" s="1254">
        <f t="shared" si="0"/>
        <v>20</v>
      </c>
      <c r="K14" s="161">
        <v>0</v>
      </c>
      <c r="L14" s="1253">
        <v>0</v>
      </c>
      <c r="M14" s="161">
        <v>0</v>
      </c>
      <c r="N14" s="1253">
        <v>0</v>
      </c>
      <c r="O14" s="161">
        <v>15</v>
      </c>
      <c r="P14" s="1253">
        <v>120</v>
      </c>
      <c r="Q14" s="161">
        <f t="shared" si="1"/>
        <v>15</v>
      </c>
      <c r="R14" s="1254">
        <f t="shared" si="1"/>
        <v>120</v>
      </c>
    </row>
    <row r="15" spans="1:18">
      <c r="A15" s="161">
        <v>8</v>
      </c>
      <c r="B15" s="161" t="s">
        <v>26</v>
      </c>
      <c r="C15" s="161">
        <v>0</v>
      </c>
      <c r="D15" s="1253">
        <v>0</v>
      </c>
      <c r="E15" s="161">
        <v>0</v>
      </c>
      <c r="F15" s="1253">
        <v>0</v>
      </c>
      <c r="G15" s="161">
        <v>0</v>
      </c>
      <c r="H15" s="1253">
        <v>0</v>
      </c>
      <c r="I15" s="161">
        <v>0</v>
      </c>
      <c r="J15" s="1254">
        <f t="shared" si="0"/>
        <v>0</v>
      </c>
      <c r="K15" s="161">
        <v>0</v>
      </c>
      <c r="L15" s="1253">
        <v>0</v>
      </c>
      <c r="M15" s="161">
        <v>0</v>
      </c>
      <c r="N15" s="1253">
        <v>0</v>
      </c>
      <c r="O15" s="161">
        <v>0</v>
      </c>
      <c r="P15" s="1253">
        <v>0</v>
      </c>
      <c r="Q15" s="161">
        <f t="shared" si="1"/>
        <v>0</v>
      </c>
      <c r="R15" s="1254">
        <f t="shared" si="1"/>
        <v>0</v>
      </c>
    </row>
    <row r="16" spans="1:18">
      <c r="A16" s="161">
        <v>9</v>
      </c>
      <c r="B16" s="161" t="s">
        <v>11</v>
      </c>
      <c r="C16" s="161">
        <v>0</v>
      </c>
      <c r="D16" s="1253">
        <v>0</v>
      </c>
      <c r="E16" s="161">
        <v>0</v>
      </c>
      <c r="F16" s="1253">
        <v>0</v>
      </c>
      <c r="G16" s="161">
        <v>0</v>
      </c>
      <c r="H16" s="1253">
        <v>0</v>
      </c>
      <c r="I16" s="161">
        <f t="shared" si="0"/>
        <v>0</v>
      </c>
      <c r="J16" s="1254">
        <f t="shared" si="0"/>
        <v>0</v>
      </c>
      <c r="K16" s="161">
        <v>0</v>
      </c>
      <c r="L16" s="1253">
        <v>0</v>
      </c>
      <c r="M16" s="161">
        <v>0</v>
      </c>
      <c r="N16" s="1253">
        <v>0</v>
      </c>
      <c r="O16" s="161">
        <v>0</v>
      </c>
      <c r="P16" s="1253">
        <v>0</v>
      </c>
      <c r="Q16" s="161">
        <f t="shared" si="1"/>
        <v>0</v>
      </c>
      <c r="R16" s="1254">
        <f t="shared" si="1"/>
        <v>0</v>
      </c>
    </row>
    <row r="17" spans="1:18">
      <c r="A17" s="161">
        <v>10</v>
      </c>
      <c r="B17" s="161" t="s">
        <v>90</v>
      </c>
      <c r="C17" s="161">
        <v>0</v>
      </c>
      <c r="D17" s="1253">
        <v>0</v>
      </c>
      <c r="E17" s="161">
        <v>0</v>
      </c>
      <c r="F17" s="1253">
        <v>0</v>
      </c>
      <c r="G17" s="161">
        <v>0</v>
      </c>
      <c r="H17" s="1253">
        <v>0</v>
      </c>
      <c r="I17" s="161">
        <f t="shared" si="0"/>
        <v>0</v>
      </c>
      <c r="J17" s="1254">
        <f t="shared" si="0"/>
        <v>0</v>
      </c>
      <c r="K17" s="161">
        <v>0</v>
      </c>
      <c r="L17" s="1253">
        <v>0</v>
      </c>
      <c r="M17" s="161">
        <v>1</v>
      </c>
      <c r="N17" s="1253">
        <v>18.3</v>
      </c>
      <c r="O17" s="161">
        <v>0</v>
      </c>
      <c r="P17" s="1253">
        <v>0</v>
      </c>
      <c r="Q17" s="161">
        <f t="shared" si="1"/>
        <v>1</v>
      </c>
      <c r="R17" s="1254">
        <f t="shared" si="1"/>
        <v>18.3</v>
      </c>
    </row>
    <row r="18" spans="1:18">
      <c r="A18" s="161">
        <v>11</v>
      </c>
      <c r="B18" s="161" t="s">
        <v>92</v>
      </c>
      <c r="C18" s="161">
        <v>0</v>
      </c>
      <c r="D18" s="1253">
        <v>0</v>
      </c>
      <c r="E18" s="161">
        <v>7</v>
      </c>
      <c r="F18" s="1253">
        <v>69.599999999999994</v>
      </c>
      <c r="G18" s="161">
        <v>0</v>
      </c>
      <c r="H18" s="1253">
        <v>0</v>
      </c>
      <c r="I18" s="161">
        <f t="shared" si="0"/>
        <v>7</v>
      </c>
      <c r="J18" s="1254">
        <f t="shared" si="0"/>
        <v>69.599999999999994</v>
      </c>
      <c r="K18" s="161">
        <v>0</v>
      </c>
      <c r="L18" s="1253">
        <v>0</v>
      </c>
      <c r="M18" s="161">
        <v>14</v>
      </c>
      <c r="N18" s="1253">
        <v>304.33999999999997</v>
      </c>
      <c r="O18" s="161">
        <v>0</v>
      </c>
      <c r="P18" s="1253">
        <v>0</v>
      </c>
      <c r="Q18" s="161">
        <f t="shared" si="1"/>
        <v>14</v>
      </c>
      <c r="R18" s="1254">
        <f t="shared" si="1"/>
        <v>304.33999999999997</v>
      </c>
    </row>
    <row r="19" spans="1:18">
      <c r="A19" s="168">
        <v>12</v>
      </c>
      <c r="B19" s="168" t="s">
        <v>51</v>
      </c>
      <c r="C19" s="168">
        <v>0</v>
      </c>
      <c r="D19" s="170">
        <v>0</v>
      </c>
      <c r="E19" s="168">
        <v>1</v>
      </c>
      <c r="F19" s="170">
        <v>19.55</v>
      </c>
      <c r="G19" s="168">
        <v>0</v>
      </c>
      <c r="H19" s="170">
        <v>0</v>
      </c>
      <c r="I19" s="168">
        <f t="shared" si="0"/>
        <v>1</v>
      </c>
      <c r="J19" s="1254">
        <f t="shared" si="0"/>
        <v>19.55</v>
      </c>
      <c r="K19" s="168">
        <v>0</v>
      </c>
      <c r="L19" s="170">
        <v>0</v>
      </c>
      <c r="M19" s="168">
        <v>2</v>
      </c>
      <c r="N19" s="170">
        <v>50.81</v>
      </c>
      <c r="O19" s="168">
        <v>0</v>
      </c>
      <c r="P19" s="170">
        <v>0</v>
      </c>
      <c r="Q19" s="168">
        <f t="shared" si="1"/>
        <v>2</v>
      </c>
      <c r="R19" s="1254">
        <f t="shared" si="1"/>
        <v>50.81</v>
      </c>
    </row>
    <row r="20" spans="1:18">
      <c r="A20" s="765">
        <v>13</v>
      </c>
      <c r="B20" s="765" t="s">
        <v>52</v>
      </c>
      <c r="C20" s="765">
        <v>0</v>
      </c>
      <c r="D20" s="1124">
        <v>0</v>
      </c>
      <c r="E20" s="765">
        <v>0</v>
      </c>
      <c r="F20" s="1124">
        <v>0</v>
      </c>
      <c r="G20" s="765">
        <v>0</v>
      </c>
      <c r="H20" s="1124">
        <v>0</v>
      </c>
      <c r="I20" s="765">
        <f t="shared" si="0"/>
        <v>0</v>
      </c>
      <c r="J20" s="1255">
        <f t="shared" si="0"/>
        <v>0</v>
      </c>
      <c r="K20" s="765">
        <v>0</v>
      </c>
      <c r="L20" s="1124">
        <v>0</v>
      </c>
      <c r="M20" s="765">
        <v>0</v>
      </c>
      <c r="N20" s="1124">
        <v>0</v>
      </c>
      <c r="O20" s="765">
        <v>0</v>
      </c>
      <c r="P20" s="1124">
        <v>0</v>
      </c>
      <c r="Q20" s="765">
        <f t="shared" si="1"/>
        <v>0</v>
      </c>
      <c r="R20" s="1255">
        <f t="shared" si="1"/>
        <v>0</v>
      </c>
    </row>
    <row r="21" spans="1:18">
      <c r="A21" s="164">
        <v>14</v>
      </c>
      <c r="B21" s="164" t="s">
        <v>28</v>
      </c>
      <c r="C21" s="164">
        <v>0</v>
      </c>
      <c r="D21" s="166">
        <v>0</v>
      </c>
      <c r="E21" s="164">
        <v>0</v>
      </c>
      <c r="F21" s="166">
        <v>0</v>
      </c>
      <c r="G21" s="164">
        <v>0</v>
      </c>
      <c r="H21" s="166">
        <v>0</v>
      </c>
      <c r="I21" s="164">
        <f t="shared" si="0"/>
        <v>0</v>
      </c>
      <c r="J21" s="1255">
        <f t="shared" si="0"/>
        <v>0</v>
      </c>
      <c r="K21" s="164">
        <v>0</v>
      </c>
      <c r="L21" s="166">
        <v>0</v>
      </c>
      <c r="M21" s="164">
        <v>8</v>
      </c>
      <c r="N21" s="166">
        <v>704</v>
      </c>
      <c r="O21" s="164">
        <v>0</v>
      </c>
      <c r="P21" s="166">
        <v>0</v>
      </c>
      <c r="Q21" s="164">
        <f t="shared" si="1"/>
        <v>8</v>
      </c>
      <c r="R21" s="1255">
        <f t="shared" si="1"/>
        <v>704</v>
      </c>
    </row>
    <row r="22" spans="1:18">
      <c r="A22" s="765">
        <v>15</v>
      </c>
      <c r="B22" s="765" t="s">
        <v>10</v>
      </c>
      <c r="C22" s="765">
        <v>0</v>
      </c>
      <c r="D22" s="1124">
        <v>0</v>
      </c>
      <c r="E22" s="765">
        <v>78</v>
      </c>
      <c r="F22" s="1124">
        <v>1859.57</v>
      </c>
      <c r="G22" s="765">
        <v>13</v>
      </c>
      <c r="H22" s="1124">
        <v>266.92</v>
      </c>
      <c r="I22" s="765">
        <f t="shared" si="0"/>
        <v>91</v>
      </c>
      <c r="J22" s="1255">
        <f t="shared" si="0"/>
        <v>2126.4899999999998</v>
      </c>
      <c r="K22" s="765">
        <v>0</v>
      </c>
      <c r="L22" s="1124">
        <v>0</v>
      </c>
      <c r="M22" s="765">
        <v>606</v>
      </c>
      <c r="N22" s="1124">
        <v>10551.07</v>
      </c>
      <c r="O22" s="765">
        <v>440</v>
      </c>
      <c r="P22" s="1124">
        <v>4240.5200000000004</v>
      </c>
      <c r="Q22" s="765">
        <f>K22+M22+O22</f>
        <v>1046</v>
      </c>
      <c r="R22" s="1255">
        <f t="shared" si="1"/>
        <v>14791.59</v>
      </c>
    </row>
    <row r="23" spans="1:18">
      <c r="A23" s="161">
        <v>16</v>
      </c>
      <c r="B23" s="161" t="s">
        <v>98</v>
      </c>
      <c r="C23" s="161">
        <v>0</v>
      </c>
      <c r="D23" s="1253">
        <v>0</v>
      </c>
      <c r="E23" s="161">
        <v>0</v>
      </c>
      <c r="F23" s="1253">
        <v>0</v>
      </c>
      <c r="G23" s="161">
        <v>0</v>
      </c>
      <c r="H23" s="1253">
        <v>0</v>
      </c>
      <c r="I23" s="161">
        <f t="shared" si="0"/>
        <v>0</v>
      </c>
      <c r="J23" s="1254">
        <f t="shared" si="0"/>
        <v>0</v>
      </c>
      <c r="K23" s="161">
        <v>0</v>
      </c>
      <c r="L23" s="1253">
        <v>0</v>
      </c>
      <c r="M23" s="161">
        <v>0</v>
      </c>
      <c r="N23" s="1253">
        <v>0</v>
      </c>
      <c r="O23" s="161">
        <v>0</v>
      </c>
      <c r="P23" s="1253">
        <v>0</v>
      </c>
      <c r="Q23" s="161">
        <f t="shared" si="1"/>
        <v>0</v>
      </c>
      <c r="R23" s="1254">
        <f t="shared" si="1"/>
        <v>0</v>
      </c>
    </row>
    <row r="24" spans="1:18">
      <c r="A24" s="164">
        <v>17</v>
      </c>
      <c r="B24" s="164" t="s">
        <v>35</v>
      </c>
      <c r="C24" s="164">
        <v>0</v>
      </c>
      <c r="D24" s="166">
        <v>0</v>
      </c>
      <c r="E24" s="164">
        <v>3</v>
      </c>
      <c r="F24" s="166">
        <v>115</v>
      </c>
      <c r="G24" s="164">
        <v>0</v>
      </c>
      <c r="H24" s="166">
        <v>0</v>
      </c>
      <c r="I24" s="164">
        <f t="shared" si="0"/>
        <v>3</v>
      </c>
      <c r="J24" s="551">
        <f t="shared" si="0"/>
        <v>115</v>
      </c>
      <c r="K24" s="164">
        <v>0</v>
      </c>
      <c r="L24" s="166">
        <v>0</v>
      </c>
      <c r="M24" s="164">
        <v>16</v>
      </c>
      <c r="N24" s="166">
        <v>393</v>
      </c>
      <c r="O24" s="164">
        <v>0</v>
      </c>
      <c r="P24" s="166">
        <v>0</v>
      </c>
      <c r="Q24" s="164">
        <f t="shared" si="1"/>
        <v>16</v>
      </c>
      <c r="R24" s="551">
        <f t="shared" si="1"/>
        <v>393</v>
      </c>
    </row>
    <row r="25" spans="1:18">
      <c r="A25" s="168">
        <v>18</v>
      </c>
      <c r="B25" s="168" t="s">
        <v>54</v>
      </c>
      <c r="C25" s="168">
        <v>0</v>
      </c>
      <c r="D25" s="170">
        <v>0</v>
      </c>
      <c r="E25" s="168">
        <v>0</v>
      </c>
      <c r="F25" s="170">
        <v>0</v>
      </c>
      <c r="G25" s="168">
        <v>0</v>
      </c>
      <c r="H25" s="170">
        <v>0</v>
      </c>
      <c r="I25" s="168">
        <f t="shared" si="0"/>
        <v>0</v>
      </c>
      <c r="J25" s="496">
        <f t="shared" si="0"/>
        <v>0</v>
      </c>
      <c r="K25" s="168">
        <v>0</v>
      </c>
      <c r="L25" s="170">
        <v>0</v>
      </c>
      <c r="M25" s="168">
        <v>45</v>
      </c>
      <c r="N25" s="170">
        <v>513</v>
      </c>
      <c r="O25" s="168">
        <v>0</v>
      </c>
      <c r="P25" s="170">
        <v>0</v>
      </c>
      <c r="Q25" s="168">
        <f t="shared" si="1"/>
        <v>45</v>
      </c>
      <c r="R25" s="496">
        <f t="shared" si="1"/>
        <v>513</v>
      </c>
    </row>
    <row r="26" spans="1:18">
      <c r="A26" s="161">
        <v>19</v>
      </c>
      <c r="B26" s="161" t="s">
        <v>102</v>
      </c>
      <c r="C26" s="161">
        <v>0</v>
      </c>
      <c r="D26" s="1253">
        <v>0</v>
      </c>
      <c r="E26" s="161">
        <v>0</v>
      </c>
      <c r="F26" s="1253">
        <v>0</v>
      </c>
      <c r="G26" s="161">
        <v>0</v>
      </c>
      <c r="H26" s="1253">
        <v>0</v>
      </c>
      <c r="I26" s="161">
        <f t="shared" si="0"/>
        <v>0</v>
      </c>
      <c r="J26" s="1254">
        <f t="shared" si="0"/>
        <v>0</v>
      </c>
      <c r="K26" s="161">
        <v>0</v>
      </c>
      <c r="L26" s="1253">
        <v>0</v>
      </c>
      <c r="M26" s="161">
        <v>0</v>
      </c>
      <c r="N26" s="1253">
        <v>0</v>
      </c>
      <c r="O26" s="161">
        <v>0</v>
      </c>
      <c r="P26" s="1253">
        <v>0</v>
      </c>
      <c r="Q26" s="161">
        <f t="shared" si="1"/>
        <v>0</v>
      </c>
      <c r="R26" s="1254">
        <f t="shared" si="1"/>
        <v>0</v>
      </c>
    </row>
    <row r="27" spans="1:18">
      <c r="A27" s="164">
        <v>20</v>
      </c>
      <c r="B27" s="164" t="s">
        <v>104</v>
      </c>
      <c r="C27" s="164">
        <v>0</v>
      </c>
      <c r="D27" s="166">
        <v>0</v>
      </c>
      <c r="E27" s="164">
        <v>15</v>
      </c>
      <c r="F27" s="166">
        <v>365</v>
      </c>
      <c r="G27" s="164">
        <v>0</v>
      </c>
      <c r="H27" s="166">
        <v>0</v>
      </c>
      <c r="I27" s="164">
        <f t="shared" si="0"/>
        <v>15</v>
      </c>
      <c r="J27" s="551">
        <f t="shared" si="0"/>
        <v>365</v>
      </c>
      <c r="K27" s="164">
        <v>0</v>
      </c>
      <c r="L27" s="166">
        <v>0</v>
      </c>
      <c r="M27" s="164">
        <v>49</v>
      </c>
      <c r="N27" s="166">
        <v>949.52</v>
      </c>
      <c r="O27" s="164">
        <v>0</v>
      </c>
      <c r="P27" s="166">
        <v>0</v>
      </c>
      <c r="Q27" s="164">
        <f>K27+M27+O27</f>
        <v>49</v>
      </c>
      <c r="R27" s="551">
        <f t="shared" si="1"/>
        <v>949.52</v>
      </c>
    </row>
    <row r="28" spans="1:18">
      <c r="A28" s="161">
        <v>21</v>
      </c>
      <c r="B28" s="161" t="s">
        <v>106</v>
      </c>
      <c r="C28" s="161">
        <v>0</v>
      </c>
      <c r="D28" s="1253">
        <v>0</v>
      </c>
      <c r="E28" s="161">
        <v>0</v>
      </c>
      <c r="F28" s="1253">
        <v>0</v>
      </c>
      <c r="G28" s="161">
        <v>0</v>
      </c>
      <c r="H28" s="1253">
        <v>0</v>
      </c>
      <c r="I28" s="161">
        <f t="shared" si="0"/>
        <v>0</v>
      </c>
      <c r="J28" s="1254">
        <f t="shared" si="0"/>
        <v>0</v>
      </c>
      <c r="K28" s="161">
        <v>0</v>
      </c>
      <c r="L28" s="1253">
        <v>0</v>
      </c>
      <c r="M28" s="161">
        <v>0</v>
      </c>
      <c r="N28" s="1253">
        <v>0</v>
      </c>
      <c r="O28" s="161">
        <v>0</v>
      </c>
      <c r="P28" s="1253">
        <v>0</v>
      </c>
      <c r="Q28" s="161">
        <f t="shared" si="1"/>
        <v>0</v>
      </c>
      <c r="R28" s="1254">
        <f t="shared" si="1"/>
        <v>0</v>
      </c>
    </row>
    <row r="29" spans="1:18">
      <c r="A29" s="1256">
        <v>22</v>
      </c>
      <c r="B29" s="1256" t="s">
        <v>108</v>
      </c>
      <c r="C29" s="1256">
        <v>0</v>
      </c>
      <c r="D29" s="1257">
        <v>0</v>
      </c>
      <c r="E29" s="1256">
        <v>3</v>
      </c>
      <c r="F29" s="1257">
        <v>55</v>
      </c>
      <c r="G29" s="1256">
        <v>0</v>
      </c>
      <c r="H29" s="1257">
        <v>0</v>
      </c>
      <c r="I29" s="1256">
        <f>C29+E29+G29</f>
        <v>3</v>
      </c>
      <c r="J29" s="1254">
        <f t="shared" si="0"/>
        <v>55</v>
      </c>
      <c r="K29" s="1256">
        <f>C29</f>
        <v>0</v>
      </c>
      <c r="L29" s="1257">
        <f>D29</f>
        <v>0</v>
      </c>
      <c r="M29" s="1256">
        <v>4</v>
      </c>
      <c r="N29" s="1257">
        <v>56.24</v>
      </c>
      <c r="O29" s="1256">
        <f>G29</f>
        <v>0</v>
      </c>
      <c r="P29" s="1257">
        <f>H29</f>
        <v>0</v>
      </c>
      <c r="Q29" s="1256">
        <f>K29+M29+O29</f>
        <v>4</v>
      </c>
      <c r="R29" s="1254">
        <f t="shared" si="1"/>
        <v>56.24</v>
      </c>
    </row>
    <row r="30" spans="1:18">
      <c r="A30" s="161">
        <v>23</v>
      </c>
      <c r="B30" s="161" t="s">
        <v>59</v>
      </c>
      <c r="C30" s="161">
        <v>0</v>
      </c>
      <c r="D30" s="1253">
        <v>0</v>
      </c>
      <c r="E30" s="161">
        <v>0</v>
      </c>
      <c r="F30" s="1253">
        <v>0</v>
      </c>
      <c r="G30" s="161">
        <v>0</v>
      </c>
      <c r="H30" s="1253">
        <v>0</v>
      </c>
      <c r="I30" s="161">
        <v>0</v>
      </c>
      <c r="J30" s="1254">
        <f t="shared" si="0"/>
        <v>0</v>
      </c>
      <c r="K30" s="161">
        <v>0</v>
      </c>
      <c r="L30" s="1253">
        <v>0</v>
      </c>
      <c r="M30" s="161">
        <v>0</v>
      </c>
      <c r="N30" s="1253">
        <v>0</v>
      </c>
      <c r="O30" s="161">
        <v>0</v>
      </c>
      <c r="P30" s="1253">
        <v>0</v>
      </c>
      <c r="Q30" s="161">
        <f t="shared" si="1"/>
        <v>0</v>
      </c>
      <c r="R30" s="1254">
        <f t="shared" si="1"/>
        <v>0</v>
      </c>
    </row>
    <row r="31" spans="1:18">
      <c r="A31" s="1258" t="s">
        <v>113</v>
      </c>
      <c r="B31" s="1258" t="s">
        <v>13</v>
      </c>
      <c r="C31" s="1258">
        <v>0</v>
      </c>
      <c r="D31" s="1259">
        <v>0</v>
      </c>
      <c r="E31" s="1258">
        <f>SUM(E8:E30)</f>
        <v>119</v>
      </c>
      <c r="F31" s="1259">
        <f>SUM(F8:F30)</f>
        <v>2838.72</v>
      </c>
      <c r="G31" s="1258">
        <f>SUM(G8:G30)</f>
        <v>15</v>
      </c>
      <c r="H31" s="1259">
        <f>SUM(H8:H30)</f>
        <v>301.92</v>
      </c>
      <c r="I31" s="1258">
        <f t="shared" si="0"/>
        <v>134</v>
      </c>
      <c r="J31" s="1255">
        <f t="shared" si="0"/>
        <v>3140.64</v>
      </c>
      <c r="K31" s="1258">
        <f t="shared" ref="K31:P31" si="2">SUM(K8:K30)</f>
        <v>0</v>
      </c>
      <c r="L31" s="1259">
        <f t="shared" si="2"/>
        <v>0</v>
      </c>
      <c r="M31" s="1258">
        <f t="shared" si="2"/>
        <v>792</v>
      </c>
      <c r="N31" s="1259">
        <f t="shared" si="2"/>
        <v>14801.74</v>
      </c>
      <c r="O31" s="1258">
        <f t="shared" si="2"/>
        <v>457</v>
      </c>
      <c r="P31" s="1259">
        <f t="shared" si="2"/>
        <v>4395.5200000000004</v>
      </c>
      <c r="Q31" s="1258">
        <f t="shared" si="1"/>
        <v>1249</v>
      </c>
      <c r="R31" s="1255">
        <f t="shared" si="1"/>
        <v>19197.260000000002</v>
      </c>
    </row>
    <row r="32" spans="1:18">
      <c r="A32" s="765">
        <v>1</v>
      </c>
      <c r="B32" s="765" t="s">
        <v>16</v>
      </c>
      <c r="C32" s="765">
        <v>0</v>
      </c>
      <c r="D32" s="1124">
        <v>0</v>
      </c>
      <c r="E32" s="765">
        <v>0</v>
      </c>
      <c r="F32" s="1124">
        <v>0</v>
      </c>
      <c r="G32" s="765">
        <v>10</v>
      </c>
      <c r="H32" s="1124">
        <v>156.80000000000001</v>
      </c>
      <c r="I32" s="765">
        <f t="shared" si="0"/>
        <v>10</v>
      </c>
      <c r="J32" s="1255">
        <f t="shared" si="0"/>
        <v>156.80000000000001</v>
      </c>
      <c r="K32" s="765">
        <v>0</v>
      </c>
      <c r="L32" s="1124">
        <v>0</v>
      </c>
      <c r="M32" s="765">
        <v>0</v>
      </c>
      <c r="N32" s="1124">
        <v>0</v>
      </c>
      <c r="O32" s="765">
        <v>30</v>
      </c>
      <c r="P32" s="1124">
        <v>940.72</v>
      </c>
      <c r="Q32" s="765">
        <f t="shared" si="1"/>
        <v>30</v>
      </c>
      <c r="R32" s="1255">
        <f t="shared" si="1"/>
        <v>940.72</v>
      </c>
    </row>
    <row r="33" spans="1:18">
      <c r="A33" s="765">
        <v>1</v>
      </c>
      <c r="B33" s="765" t="s">
        <v>110</v>
      </c>
      <c r="C33" s="765">
        <v>0</v>
      </c>
      <c r="D33" s="1124">
        <v>0</v>
      </c>
      <c r="E33" s="765">
        <v>0</v>
      </c>
      <c r="F33" s="1124">
        <v>0</v>
      </c>
      <c r="G33" s="765">
        <v>13</v>
      </c>
      <c r="H33" s="1124">
        <v>123.46</v>
      </c>
      <c r="I33" s="765">
        <f t="shared" si="0"/>
        <v>13</v>
      </c>
      <c r="J33" s="1255">
        <f t="shared" si="0"/>
        <v>123.46</v>
      </c>
      <c r="K33" s="765">
        <v>0</v>
      </c>
      <c r="L33" s="1124">
        <v>0</v>
      </c>
      <c r="M33" s="765">
        <v>85</v>
      </c>
      <c r="N33" s="1124">
        <v>903.47</v>
      </c>
      <c r="O33" s="765">
        <v>235</v>
      </c>
      <c r="P33" s="1124">
        <v>1311.23</v>
      </c>
      <c r="Q33" s="765">
        <f t="shared" si="1"/>
        <v>320</v>
      </c>
      <c r="R33" s="1255">
        <f t="shared" si="1"/>
        <v>2214.6999999999998</v>
      </c>
    </row>
    <row r="34" spans="1:18">
      <c r="A34" s="1258" t="s">
        <v>135</v>
      </c>
      <c r="B34" s="1258" t="s">
        <v>13</v>
      </c>
      <c r="C34" s="1258">
        <v>0</v>
      </c>
      <c r="D34" s="1259">
        <f>SUM(D31:D33)</f>
        <v>0</v>
      </c>
      <c r="E34" s="1258">
        <f>SUM(E31:E33)</f>
        <v>119</v>
      </c>
      <c r="F34" s="1259">
        <f>SUM(F31:F33)</f>
        <v>2838.72</v>
      </c>
      <c r="G34" s="1258">
        <f>SUM(G31:G33)</f>
        <v>38</v>
      </c>
      <c r="H34" s="1259">
        <f>SUM(H31:H33)</f>
        <v>582.18000000000006</v>
      </c>
      <c r="I34" s="1258">
        <f t="shared" si="0"/>
        <v>157</v>
      </c>
      <c r="J34" s="1255">
        <f t="shared" si="0"/>
        <v>3420.8999999999996</v>
      </c>
      <c r="K34" s="1258">
        <f t="shared" ref="K34:P34" si="3">SUM(K31:K33)</f>
        <v>0</v>
      </c>
      <c r="L34" s="1260">
        <f t="shared" si="3"/>
        <v>0</v>
      </c>
      <c r="M34" s="1258">
        <f t="shared" si="3"/>
        <v>877</v>
      </c>
      <c r="N34" s="1259">
        <f t="shared" si="3"/>
        <v>15705.21</v>
      </c>
      <c r="O34" s="1258">
        <f t="shared" si="3"/>
        <v>722</v>
      </c>
      <c r="P34" s="1259">
        <f t="shared" si="3"/>
        <v>6647.4700000000012</v>
      </c>
      <c r="Q34" s="1258">
        <f t="shared" si="1"/>
        <v>1599</v>
      </c>
      <c r="R34" s="1255">
        <f t="shared" si="1"/>
        <v>22352.68</v>
      </c>
    </row>
    <row r="35" spans="1:18">
      <c r="A35" s="1547" t="s">
        <v>136</v>
      </c>
      <c r="B35" s="1547"/>
      <c r="C35" s="1258">
        <v>0</v>
      </c>
      <c r="D35" s="1259">
        <v>0</v>
      </c>
      <c r="E35" s="1258">
        <v>88</v>
      </c>
      <c r="F35" s="1259">
        <v>1971.25</v>
      </c>
      <c r="G35" s="1258">
        <v>33</v>
      </c>
      <c r="H35" s="1259">
        <v>489.66</v>
      </c>
      <c r="I35" s="1258">
        <v>121</v>
      </c>
      <c r="J35" s="1255">
        <f t="shared" ref="J35" si="4">D35+F35+H35</f>
        <v>2460.91</v>
      </c>
      <c r="K35" s="1258">
        <v>0</v>
      </c>
      <c r="L35" s="1259">
        <v>0</v>
      </c>
      <c r="M35" s="1258">
        <v>855</v>
      </c>
      <c r="N35" s="1259">
        <v>13556.04</v>
      </c>
      <c r="O35" s="1258">
        <v>717</v>
      </c>
      <c r="P35" s="1259">
        <v>6554.95</v>
      </c>
      <c r="Q35" s="1258">
        <f>K35+M35+O35</f>
        <v>1572</v>
      </c>
      <c r="R35" s="1255">
        <f t="shared" ref="R35" si="5">L35+N35+P35</f>
        <v>20110.990000000002</v>
      </c>
    </row>
  </sheetData>
  <mergeCells count="17">
    <mergeCell ref="O6:P6"/>
    <mergeCell ref="Q6:R6"/>
    <mergeCell ref="A1:R1"/>
    <mergeCell ref="A2:R2"/>
    <mergeCell ref="G3:L3"/>
    <mergeCell ref="O4:R4"/>
    <mergeCell ref="A5:A7"/>
    <mergeCell ref="B5:B7"/>
    <mergeCell ref="C5:J5"/>
    <mergeCell ref="K5:R5"/>
    <mergeCell ref="C6:D6"/>
    <mergeCell ref="E6:F6"/>
    <mergeCell ref="A35:B35"/>
    <mergeCell ref="G6:H6"/>
    <mergeCell ref="I6:J6"/>
    <mergeCell ref="K6:L6"/>
    <mergeCell ref="M6:N6"/>
  </mergeCells>
  <printOptions gridLines="1"/>
  <pageMargins left="0.7" right="0.7" top="0.75" bottom="0.75" header="0.3" footer="0.3"/>
  <pageSetup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4" sqref="J4"/>
    </sheetView>
  </sheetViews>
  <sheetFormatPr defaultRowHeight="15"/>
  <sheetData>
    <row r="1" spans="1:8" ht="15.75">
      <c r="A1" s="1560">
        <v>33</v>
      </c>
      <c r="B1" s="1560"/>
      <c r="C1" s="1560"/>
      <c r="D1" s="1560"/>
      <c r="E1" s="1560"/>
      <c r="F1" s="1560"/>
      <c r="G1" s="1560"/>
      <c r="H1" s="1560"/>
    </row>
    <row r="2" spans="1:8" ht="18">
      <c r="A2" s="229"/>
      <c r="B2" s="1561" t="s">
        <v>333</v>
      </c>
      <c r="C2" s="1561"/>
      <c r="D2" s="1561"/>
      <c r="E2" s="1561"/>
      <c r="F2" s="1561"/>
      <c r="G2" s="1561"/>
      <c r="H2" s="229"/>
    </row>
    <row r="3" spans="1:8" ht="18">
      <c r="A3" s="229"/>
      <c r="B3" s="1033"/>
      <c r="C3" s="1033"/>
      <c r="D3" s="1406" t="s">
        <v>602</v>
      </c>
      <c r="E3" s="1406"/>
      <c r="F3" s="1052"/>
      <c r="G3" s="1033"/>
      <c r="H3" s="229"/>
    </row>
    <row r="4" spans="1:8" ht="18">
      <c r="A4" s="266"/>
      <c r="B4" s="267"/>
      <c r="C4" s="1562" t="s">
        <v>334</v>
      </c>
      <c r="D4" s="1562"/>
      <c r="E4" s="1562"/>
      <c r="F4" s="1562"/>
      <c r="G4" s="1563" t="s">
        <v>327</v>
      </c>
      <c r="H4" s="1563"/>
    </row>
    <row r="5" spans="1:8">
      <c r="A5" s="1564" t="s">
        <v>335</v>
      </c>
      <c r="B5" s="1564" t="s">
        <v>5</v>
      </c>
      <c r="C5" s="1566" t="s">
        <v>336</v>
      </c>
      <c r="D5" s="1566"/>
      <c r="E5" s="1566" t="s">
        <v>337</v>
      </c>
      <c r="F5" s="1566"/>
      <c r="G5" s="1566" t="s">
        <v>338</v>
      </c>
      <c r="H5" s="1566"/>
    </row>
    <row r="6" spans="1:8">
      <c r="A6" s="1565"/>
      <c r="B6" s="1565"/>
      <c r="C6" s="268" t="s">
        <v>302</v>
      </c>
      <c r="D6" s="268"/>
      <c r="E6" s="268" t="s">
        <v>302</v>
      </c>
      <c r="F6" s="268" t="s">
        <v>339</v>
      </c>
      <c r="G6" s="1034" t="s">
        <v>302</v>
      </c>
      <c r="H6" s="1034" t="s">
        <v>339</v>
      </c>
    </row>
    <row r="7" spans="1:8">
      <c r="A7" s="1044">
        <v>1</v>
      </c>
      <c r="B7" s="1044" t="s">
        <v>78</v>
      </c>
      <c r="C7" s="1044">
        <v>0</v>
      </c>
      <c r="D7" s="1261">
        <v>0</v>
      </c>
      <c r="E7" s="1044">
        <v>0</v>
      </c>
      <c r="F7" s="1261">
        <v>0</v>
      </c>
      <c r="G7" s="1044">
        <v>0</v>
      </c>
      <c r="H7" s="1262">
        <v>0</v>
      </c>
    </row>
    <row r="8" spans="1:8">
      <c r="A8" s="102">
        <v>2</v>
      </c>
      <c r="B8" s="102" t="s">
        <v>27</v>
      </c>
      <c r="C8" s="102">
        <v>0</v>
      </c>
      <c r="D8" s="530">
        <v>0</v>
      </c>
      <c r="E8" s="102">
        <v>0</v>
      </c>
      <c r="F8" s="530">
        <v>0</v>
      </c>
      <c r="G8" s="102">
        <v>0</v>
      </c>
      <c r="H8" s="531">
        <v>0</v>
      </c>
    </row>
    <row r="9" spans="1:8">
      <c r="A9" s="102">
        <v>3</v>
      </c>
      <c r="B9" s="102" t="s">
        <v>46</v>
      </c>
      <c r="C9" s="102">
        <v>0</v>
      </c>
      <c r="D9" s="530">
        <v>0</v>
      </c>
      <c r="E9" s="102">
        <v>0</v>
      </c>
      <c r="F9" s="530">
        <v>0</v>
      </c>
      <c r="G9" s="102">
        <v>4</v>
      </c>
      <c r="H9" s="531">
        <v>6.03</v>
      </c>
    </row>
    <row r="10" spans="1:8">
      <c r="A10" s="1044">
        <v>4</v>
      </c>
      <c r="B10" s="1044" t="s">
        <v>32</v>
      </c>
      <c r="C10" s="1044">
        <v>0</v>
      </c>
      <c r="D10" s="1261">
        <v>0</v>
      </c>
      <c r="E10" s="1044">
        <v>0</v>
      </c>
      <c r="F10" s="1261">
        <v>0</v>
      </c>
      <c r="G10" s="1044">
        <v>1</v>
      </c>
      <c r="H10" s="1262">
        <v>1.93</v>
      </c>
    </row>
    <row r="11" spans="1:8">
      <c r="A11" s="1044">
        <v>5</v>
      </c>
      <c r="B11" s="1044" t="s">
        <v>83</v>
      </c>
      <c r="C11" s="1044">
        <v>0</v>
      </c>
      <c r="D11" s="1261">
        <v>0</v>
      </c>
      <c r="E11" s="1044">
        <v>0</v>
      </c>
      <c r="F11" s="1261">
        <v>0</v>
      </c>
      <c r="G11" s="1044">
        <v>0</v>
      </c>
      <c r="H11" s="1262">
        <v>0</v>
      </c>
    </row>
    <row r="12" spans="1:8">
      <c r="A12" s="102">
        <v>6</v>
      </c>
      <c r="B12" s="102" t="s">
        <v>85</v>
      </c>
      <c r="C12" s="102">
        <v>1</v>
      </c>
      <c r="D12" s="530">
        <v>1.0900000000000001</v>
      </c>
      <c r="E12" s="102">
        <v>1</v>
      </c>
      <c r="F12" s="530">
        <v>1.0900000000000001</v>
      </c>
      <c r="G12" s="102">
        <v>4</v>
      </c>
      <c r="H12" s="531">
        <v>10.73</v>
      </c>
    </row>
    <row r="13" spans="1:8">
      <c r="A13" s="102">
        <v>7</v>
      </c>
      <c r="B13" s="102" t="s">
        <v>17</v>
      </c>
      <c r="C13" s="102">
        <v>0</v>
      </c>
      <c r="D13" s="530">
        <v>0</v>
      </c>
      <c r="E13" s="102">
        <v>0</v>
      </c>
      <c r="F13" s="530">
        <v>0</v>
      </c>
      <c r="G13" s="102">
        <v>14</v>
      </c>
      <c r="H13" s="531">
        <v>31.02</v>
      </c>
    </row>
    <row r="14" spans="1:8">
      <c r="A14" s="1044">
        <v>8</v>
      </c>
      <c r="B14" s="1044" t="s">
        <v>26</v>
      </c>
      <c r="C14" s="1044">
        <v>0</v>
      </c>
      <c r="D14" s="1261">
        <v>0</v>
      </c>
      <c r="E14" s="1044">
        <v>0</v>
      </c>
      <c r="F14" s="1261">
        <v>0</v>
      </c>
      <c r="G14" s="1044">
        <v>1</v>
      </c>
      <c r="H14" s="1262">
        <v>4</v>
      </c>
    </row>
    <row r="15" spans="1:8">
      <c r="A15" s="1044">
        <v>9</v>
      </c>
      <c r="B15" s="1044" t="s">
        <v>11</v>
      </c>
      <c r="C15" s="1044">
        <v>0</v>
      </c>
      <c r="D15" s="1261">
        <v>0</v>
      </c>
      <c r="E15" s="1044">
        <v>0</v>
      </c>
      <c r="F15" s="1261">
        <v>0</v>
      </c>
      <c r="G15" s="1044">
        <v>0</v>
      </c>
      <c r="H15" s="1262">
        <v>0</v>
      </c>
    </row>
    <row r="16" spans="1:8">
      <c r="A16" s="102">
        <v>10</v>
      </c>
      <c r="B16" s="102" t="s">
        <v>90</v>
      </c>
      <c r="C16" s="102">
        <v>0</v>
      </c>
      <c r="D16" s="530">
        <v>0</v>
      </c>
      <c r="E16" s="102">
        <v>0</v>
      </c>
      <c r="F16" s="530">
        <v>0</v>
      </c>
      <c r="G16" s="102">
        <v>1</v>
      </c>
      <c r="H16" s="531">
        <v>6.6</v>
      </c>
    </row>
    <row r="17" spans="1:8">
      <c r="A17" s="102">
        <v>11</v>
      </c>
      <c r="B17" s="102" t="s">
        <v>284</v>
      </c>
      <c r="C17" s="102">
        <v>1</v>
      </c>
      <c r="D17" s="530">
        <v>3</v>
      </c>
      <c r="E17" s="102">
        <v>1</v>
      </c>
      <c r="F17" s="530">
        <v>1.4</v>
      </c>
      <c r="G17" s="102">
        <v>1</v>
      </c>
      <c r="H17" s="531">
        <v>6.69</v>
      </c>
    </row>
    <row r="18" spans="1:8">
      <c r="A18" s="102">
        <v>12</v>
      </c>
      <c r="B18" s="102" t="s">
        <v>51</v>
      </c>
      <c r="C18" s="102">
        <v>0</v>
      </c>
      <c r="D18" s="530">
        <v>0</v>
      </c>
      <c r="E18" s="102">
        <v>0</v>
      </c>
      <c r="F18" s="530">
        <v>0</v>
      </c>
      <c r="G18" s="102">
        <v>0</v>
      </c>
      <c r="H18" s="531">
        <v>0</v>
      </c>
    </row>
    <row r="19" spans="1:8">
      <c r="A19" s="102">
        <v>13</v>
      </c>
      <c r="B19" s="102" t="s">
        <v>52</v>
      </c>
      <c r="C19" s="102">
        <v>0</v>
      </c>
      <c r="D19" s="530">
        <v>0</v>
      </c>
      <c r="E19" s="102">
        <v>0</v>
      </c>
      <c r="F19" s="530">
        <v>0</v>
      </c>
      <c r="G19" s="102">
        <v>3</v>
      </c>
      <c r="H19" s="531">
        <v>19.71</v>
      </c>
    </row>
    <row r="20" spans="1:8">
      <c r="A20" s="102">
        <v>14</v>
      </c>
      <c r="B20" s="102" t="s">
        <v>28</v>
      </c>
      <c r="C20" s="102">
        <v>5</v>
      </c>
      <c r="D20" s="530">
        <v>12</v>
      </c>
      <c r="E20" s="102">
        <v>5</v>
      </c>
      <c r="F20" s="530">
        <v>2.6</v>
      </c>
      <c r="G20" s="102">
        <v>41</v>
      </c>
      <c r="H20" s="531">
        <v>115.64</v>
      </c>
    </row>
    <row r="21" spans="1:8">
      <c r="A21" s="1044">
        <v>15</v>
      </c>
      <c r="B21" s="1044" t="s">
        <v>10</v>
      </c>
      <c r="C21" s="1044">
        <v>49</v>
      </c>
      <c r="D21" s="1261">
        <v>125.12</v>
      </c>
      <c r="E21" s="1044">
        <v>49</v>
      </c>
      <c r="F21" s="1261">
        <v>125.12</v>
      </c>
      <c r="G21" s="1044">
        <v>376</v>
      </c>
      <c r="H21" s="1262">
        <v>1132</v>
      </c>
    </row>
    <row r="22" spans="1:8">
      <c r="A22" s="1044">
        <v>16</v>
      </c>
      <c r="B22" s="1044" t="s">
        <v>53</v>
      </c>
      <c r="C22" s="1044">
        <v>0</v>
      </c>
      <c r="D22" s="1261">
        <v>0</v>
      </c>
      <c r="E22" s="1044">
        <v>0</v>
      </c>
      <c r="F22" s="1261">
        <v>0</v>
      </c>
      <c r="G22" s="1044">
        <v>4</v>
      </c>
      <c r="H22" s="1262">
        <v>5.04</v>
      </c>
    </row>
    <row r="23" spans="1:8">
      <c r="A23" s="1044">
        <v>17</v>
      </c>
      <c r="B23" s="1044" t="s">
        <v>35</v>
      </c>
      <c r="C23" s="1044">
        <v>0</v>
      </c>
      <c r="D23" s="1261">
        <v>0</v>
      </c>
      <c r="E23" s="1044">
        <v>0</v>
      </c>
      <c r="F23" s="1261">
        <v>0</v>
      </c>
      <c r="G23" s="1044">
        <v>8</v>
      </c>
      <c r="H23" s="1262">
        <v>25.83</v>
      </c>
    </row>
    <row r="24" spans="1:8">
      <c r="A24" s="102">
        <v>18</v>
      </c>
      <c r="B24" s="102" t="s">
        <v>54</v>
      </c>
      <c r="C24" s="102">
        <v>0</v>
      </c>
      <c r="D24" s="530">
        <v>0</v>
      </c>
      <c r="E24" s="102">
        <v>0</v>
      </c>
      <c r="F24" s="530">
        <v>0</v>
      </c>
      <c r="G24" s="102">
        <v>10</v>
      </c>
      <c r="H24" s="531">
        <v>31.38</v>
      </c>
    </row>
    <row r="25" spans="1:8">
      <c r="A25" s="102">
        <v>19</v>
      </c>
      <c r="B25" s="102" t="s">
        <v>285</v>
      </c>
      <c r="C25" s="102">
        <v>4</v>
      </c>
      <c r="D25" s="530">
        <v>18.98</v>
      </c>
      <c r="E25" s="102">
        <v>4</v>
      </c>
      <c r="F25" s="530">
        <v>18.98</v>
      </c>
      <c r="G25" s="102">
        <v>5</v>
      </c>
      <c r="H25" s="531">
        <v>25.87</v>
      </c>
    </row>
    <row r="26" spans="1:8">
      <c r="A26" s="1044">
        <v>20</v>
      </c>
      <c r="B26" s="1044" t="s">
        <v>23</v>
      </c>
      <c r="C26" s="1044">
        <v>6</v>
      </c>
      <c r="D26" s="1261">
        <v>26.01</v>
      </c>
      <c r="E26" s="1044">
        <v>6</v>
      </c>
      <c r="F26" s="1261">
        <v>26.01</v>
      </c>
      <c r="G26" s="1044">
        <v>15</v>
      </c>
      <c r="H26" s="1262">
        <v>38.49</v>
      </c>
    </row>
    <row r="27" spans="1:8">
      <c r="A27" s="102">
        <v>21</v>
      </c>
      <c r="B27" s="102" t="s">
        <v>106</v>
      </c>
      <c r="C27" s="102">
        <v>0</v>
      </c>
      <c r="D27" s="530">
        <v>0</v>
      </c>
      <c r="E27" s="102">
        <v>0</v>
      </c>
      <c r="F27" s="530">
        <v>0</v>
      </c>
      <c r="G27" s="102">
        <v>0</v>
      </c>
      <c r="H27" s="531">
        <v>0</v>
      </c>
    </row>
    <row r="28" spans="1:8">
      <c r="A28" s="1263">
        <v>22</v>
      </c>
      <c r="B28" s="1264" t="s">
        <v>108</v>
      </c>
      <c r="C28" s="102">
        <v>0</v>
      </c>
      <c r="D28" s="530">
        <v>0</v>
      </c>
      <c r="E28" s="102">
        <v>0</v>
      </c>
      <c r="F28" s="530">
        <v>0</v>
      </c>
      <c r="G28" s="102">
        <v>0</v>
      </c>
      <c r="H28" s="531">
        <v>0</v>
      </c>
    </row>
    <row r="29" spans="1:8">
      <c r="A29" s="1263">
        <v>23</v>
      </c>
      <c r="B29" s="1264" t="s">
        <v>59</v>
      </c>
      <c r="C29" s="102">
        <v>0</v>
      </c>
      <c r="D29" s="530">
        <v>0</v>
      </c>
      <c r="E29" s="102">
        <v>0</v>
      </c>
      <c r="F29" s="530">
        <v>0</v>
      </c>
      <c r="G29" s="102">
        <v>0</v>
      </c>
      <c r="H29" s="531">
        <v>0</v>
      </c>
    </row>
    <row r="30" spans="1:8">
      <c r="A30" s="1556" t="s">
        <v>340</v>
      </c>
      <c r="B30" s="1557"/>
      <c r="C30" s="811">
        <f t="shared" ref="C30:H30" si="0">SUM(C7:C29)</f>
        <v>66</v>
      </c>
      <c r="D30" s="812">
        <f t="shared" si="0"/>
        <v>186.2</v>
      </c>
      <c r="E30" s="811">
        <f t="shared" si="0"/>
        <v>66</v>
      </c>
      <c r="F30" s="812">
        <f t="shared" si="0"/>
        <v>175.2</v>
      </c>
      <c r="G30" s="811">
        <f t="shared" si="0"/>
        <v>488</v>
      </c>
      <c r="H30" s="813">
        <f t="shared" si="0"/>
        <v>1460.9599999999998</v>
      </c>
    </row>
    <row r="31" spans="1:8">
      <c r="A31" s="1044">
        <v>23</v>
      </c>
      <c r="B31" s="1044" t="s">
        <v>16</v>
      </c>
      <c r="C31" s="1044">
        <v>2</v>
      </c>
      <c r="D31" s="1261">
        <v>6.5</v>
      </c>
      <c r="E31" s="1044">
        <v>2</v>
      </c>
      <c r="F31" s="1261">
        <v>2</v>
      </c>
      <c r="G31" s="1044">
        <v>6</v>
      </c>
      <c r="H31" s="1262">
        <v>26.7</v>
      </c>
    </row>
    <row r="32" spans="1:8">
      <c r="A32" s="105">
        <v>24</v>
      </c>
      <c r="B32" s="102" t="s">
        <v>12</v>
      </c>
      <c r="C32" s="102">
        <v>6</v>
      </c>
      <c r="D32" s="530">
        <v>22.43</v>
      </c>
      <c r="E32" s="102">
        <v>6</v>
      </c>
      <c r="F32" s="530">
        <v>22.43</v>
      </c>
      <c r="G32" s="102">
        <v>11</v>
      </c>
      <c r="H32" s="531">
        <v>39.39</v>
      </c>
    </row>
    <row r="33" spans="1:8">
      <c r="A33" s="1556" t="s">
        <v>206</v>
      </c>
      <c r="B33" s="1557"/>
      <c r="C33" s="811">
        <f t="shared" ref="C33:H33" si="1">SUM(C30:C32)</f>
        <v>74</v>
      </c>
      <c r="D33" s="812">
        <f t="shared" si="1"/>
        <v>215.13</v>
      </c>
      <c r="E33" s="811">
        <f t="shared" si="1"/>
        <v>74</v>
      </c>
      <c r="F33" s="812">
        <f t="shared" si="1"/>
        <v>199.63</v>
      </c>
      <c r="G33" s="811">
        <f t="shared" si="1"/>
        <v>505</v>
      </c>
      <c r="H33" s="813">
        <f t="shared" si="1"/>
        <v>1527.05</v>
      </c>
    </row>
    <row r="34" spans="1:8">
      <c r="A34" s="1558" t="s">
        <v>341</v>
      </c>
      <c r="B34" s="1559"/>
      <c r="C34" s="1230">
        <v>42</v>
      </c>
      <c r="D34" s="812">
        <v>166.56</v>
      </c>
      <c r="E34" s="1230">
        <v>42</v>
      </c>
      <c r="F34" s="812">
        <v>113.55</v>
      </c>
      <c r="G34" s="1230">
        <v>546</v>
      </c>
      <c r="H34" s="813">
        <v>1575.85</v>
      </c>
    </row>
  </sheetData>
  <mergeCells count="12">
    <mergeCell ref="A30:B30"/>
    <mergeCell ref="A33:B33"/>
    <mergeCell ref="A34:B34"/>
    <mergeCell ref="A1:H1"/>
    <mergeCell ref="B2:G2"/>
    <mergeCell ref="C4:F4"/>
    <mergeCell ref="G4:H4"/>
    <mergeCell ref="A5:A6"/>
    <mergeCell ref="B5:B6"/>
    <mergeCell ref="C5:D5"/>
    <mergeCell ref="E5:F5"/>
    <mergeCell ref="G5:H5"/>
  </mergeCells>
  <printOptions gridLines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N7" sqref="N7"/>
    </sheetView>
  </sheetViews>
  <sheetFormatPr defaultRowHeight="15"/>
  <sheetData>
    <row r="1" spans="1:12" ht="15.75">
      <c r="A1" s="1482">
        <v>34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</row>
    <row r="2" spans="1:12" ht="15.75">
      <c r="A2" s="1569" t="s">
        <v>321</v>
      </c>
      <c r="B2" s="1569"/>
      <c r="C2" s="1569"/>
      <c r="D2" s="1569"/>
      <c r="E2" s="1569"/>
      <c r="F2" s="1569"/>
      <c r="G2" s="1569"/>
      <c r="H2" s="1569"/>
      <c r="I2" s="1569"/>
      <c r="J2" s="1569"/>
      <c r="K2" s="741"/>
      <c r="L2" s="741"/>
    </row>
    <row r="3" spans="1:12" ht="15.75">
      <c r="A3" s="741"/>
      <c r="B3" s="1035"/>
      <c r="C3" s="741"/>
      <c r="D3" s="1570" t="s">
        <v>602</v>
      </c>
      <c r="E3" s="1570"/>
      <c r="F3" s="1570"/>
      <c r="G3" s="1570"/>
      <c r="H3" s="258"/>
      <c r="I3" s="261"/>
      <c r="J3" s="1571" t="s">
        <v>3</v>
      </c>
      <c r="K3" s="1571"/>
      <c r="L3" s="1571"/>
    </row>
    <row r="4" spans="1:12">
      <c r="A4" s="1554" t="s">
        <v>130</v>
      </c>
      <c r="B4" s="1554" t="s">
        <v>131</v>
      </c>
      <c r="C4" s="1572" t="s">
        <v>322</v>
      </c>
      <c r="D4" s="1541"/>
      <c r="E4" s="1573" t="s">
        <v>323</v>
      </c>
      <c r="F4" s="1574"/>
      <c r="G4" s="1575" t="s">
        <v>211</v>
      </c>
      <c r="H4" s="1575" t="s">
        <v>212</v>
      </c>
      <c r="I4" s="1575" t="s">
        <v>213</v>
      </c>
      <c r="J4" s="1577" t="s">
        <v>312</v>
      </c>
      <c r="K4" s="1579" t="s">
        <v>324</v>
      </c>
      <c r="L4" s="1579" t="s">
        <v>325</v>
      </c>
    </row>
    <row r="5" spans="1:12">
      <c r="A5" s="1554"/>
      <c r="B5" s="1554"/>
      <c r="C5" s="246" t="s">
        <v>282</v>
      </c>
      <c r="D5" s="246" t="s">
        <v>258</v>
      </c>
      <c r="E5" s="246" t="s">
        <v>282</v>
      </c>
      <c r="F5" s="246" t="s">
        <v>258</v>
      </c>
      <c r="G5" s="1576"/>
      <c r="H5" s="1576"/>
      <c r="I5" s="1576"/>
      <c r="J5" s="1578"/>
      <c r="K5" s="1580"/>
      <c r="L5" s="1580"/>
    </row>
    <row r="6" spans="1:12">
      <c r="A6" s="1265">
        <v>1</v>
      </c>
      <c r="B6" s="1266" t="s">
        <v>78</v>
      </c>
      <c r="C6" s="1266">
        <v>0</v>
      </c>
      <c r="D6" s="1267">
        <v>0</v>
      </c>
      <c r="E6" s="1268">
        <v>0</v>
      </c>
      <c r="F6" s="1267">
        <v>9.9999999999999995E-7</v>
      </c>
      <c r="G6" s="1267">
        <v>9.9999999999999995E-7</v>
      </c>
      <c r="H6" s="1267">
        <v>0</v>
      </c>
      <c r="I6" s="1267">
        <f>H6/G6%</f>
        <v>0</v>
      </c>
      <c r="J6" s="1269">
        <f t="shared" ref="J6:J31" si="0">G6-H6</f>
        <v>9.9999999999999995E-7</v>
      </c>
      <c r="K6" s="1124">
        <v>0</v>
      </c>
      <c r="L6" s="1124">
        <f t="shared" ref="L6:L23" si="1">K6/F6%</f>
        <v>0</v>
      </c>
    </row>
    <row r="7" spans="1:12">
      <c r="A7" s="1265">
        <v>2</v>
      </c>
      <c r="B7" s="1266" t="s">
        <v>27</v>
      </c>
      <c r="C7" s="1266">
        <v>0</v>
      </c>
      <c r="D7" s="1267">
        <v>0</v>
      </c>
      <c r="E7" s="1268">
        <v>0</v>
      </c>
      <c r="F7" s="1267">
        <v>1.0000000000000001E-5</v>
      </c>
      <c r="G7" s="1267">
        <v>9.9999999999999995E-7</v>
      </c>
      <c r="H7" s="1267">
        <v>0</v>
      </c>
      <c r="I7" s="1267">
        <f>H7/G7%</f>
        <v>0</v>
      </c>
      <c r="J7" s="1269">
        <f t="shared" si="0"/>
        <v>9.9999999999999995E-7</v>
      </c>
      <c r="K7" s="1124">
        <v>0</v>
      </c>
      <c r="L7" s="1124">
        <f t="shared" si="1"/>
        <v>0</v>
      </c>
    </row>
    <row r="8" spans="1:12">
      <c r="A8" s="1265">
        <v>3</v>
      </c>
      <c r="B8" s="1266" t="s">
        <v>46</v>
      </c>
      <c r="C8" s="1266">
        <v>0</v>
      </c>
      <c r="D8" s="1267">
        <v>0</v>
      </c>
      <c r="E8" s="1268">
        <v>0</v>
      </c>
      <c r="F8" s="1267">
        <v>1.0000000000000001E-5</v>
      </c>
      <c r="G8" s="1267">
        <v>9.9999999999999995E-7</v>
      </c>
      <c r="H8" s="1267">
        <v>0</v>
      </c>
      <c r="I8" s="1267">
        <f>H8/G8%</f>
        <v>0</v>
      </c>
      <c r="J8" s="1269">
        <f t="shared" si="0"/>
        <v>9.9999999999999995E-7</v>
      </c>
      <c r="K8" s="1124">
        <v>0</v>
      </c>
      <c r="L8" s="1124">
        <f t="shared" si="1"/>
        <v>0</v>
      </c>
    </row>
    <row r="9" spans="1:12">
      <c r="A9" s="1265">
        <v>4</v>
      </c>
      <c r="B9" s="1266" t="s">
        <v>32</v>
      </c>
      <c r="C9" s="1266">
        <v>0</v>
      </c>
      <c r="D9" s="1267">
        <v>0</v>
      </c>
      <c r="E9" s="1268">
        <v>89</v>
      </c>
      <c r="F9" s="1267">
        <v>388.31</v>
      </c>
      <c r="G9" s="1267">
        <v>0</v>
      </c>
      <c r="H9" s="1267">
        <v>0</v>
      </c>
      <c r="I9" s="1267">
        <v>0</v>
      </c>
      <c r="J9" s="1269">
        <f t="shared" si="0"/>
        <v>0</v>
      </c>
      <c r="K9" s="1124">
        <v>246.75</v>
      </c>
      <c r="L9" s="1124">
        <f t="shared" si="1"/>
        <v>63.544590662099864</v>
      </c>
    </row>
    <row r="10" spans="1:12">
      <c r="A10" s="1265">
        <v>5</v>
      </c>
      <c r="B10" s="1266" t="s">
        <v>83</v>
      </c>
      <c r="C10" s="1266">
        <v>0</v>
      </c>
      <c r="D10" s="1267">
        <v>0</v>
      </c>
      <c r="E10" s="1268">
        <v>0</v>
      </c>
      <c r="F10" s="1267">
        <v>1.0000000000000001E-5</v>
      </c>
      <c r="G10" s="1267">
        <v>9.9999999999999995E-7</v>
      </c>
      <c r="H10" s="1267">
        <v>0</v>
      </c>
      <c r="I10" s="1267">
        <f>H10/G10%</f>
        <v>0</v>
      </c>
      <c r="J10" s="1269">
        <f t="shared" si="0"/>
        <v>9.9999999999999995E-7</v>
      </c>
      <c r="K10" s="1124">
        <v>0</v>
      </c>
      <c r="L10" s="1124">
        <f t="shared" si="1"/>
        <v>0</v>
      </c>
    </row>
    <row r="11" spans="1:12">
      <c r="A11" s="1265">
        <v>6</v>
      </c>
      <c r="B11" s="1266" t="s">
        <v>85</v>
      </c>
      <c r="C11" s="1266">
        <v>0</v>
      </c>
      <c r="D11" s="1267">
        <v>0</v>
      </c>
      <c r="E11" s="1268">
        <v>0</v>
      </c>
      <c r="F11" s="1267">
        <v>0</v>
      </c>
      <c r="G11" s="1267">
        <v>0</v>
      </c>
      <c r="H11" s="1267">
        <v>0</v>
      </c>
      <c r="I11" s="1267">
        <v>0</v>
      </c>
      <c r="J11" s="1269">
        <f t="shared" si="0"/>
        <v>0</v>
      </c>
      <c r="K11" s="1124">
        <v>0</v>
      </c>
      <c r="L11" s="1124">
        <v>0</v>
      </c>
    </row>
    <row r="12" spans="1:12">
      <c r="A12" s="1265">
        <v>7</v>
      </c>
      <c r="B12" s="1266" t="s">
        <v>17</v>
      </c>
      <c r="C12" s="1266">
        <v>0</v>
      </c>
      <c r="D12" s="1267">
        <v>0</v>
      </c>
      <c r="E12" s="1268">
        <v>0</v>
      </c>
      <c r="F12" s="1267">
        <v>0</v>
      </c>
      <c r="G12" s="1267">
        <v>0</v>
      </c>
      <c r="H12" s="1267">
        <v>0</v>
      </c>
      <c r="I12" s="1267">
        <v>0</v>
      </c>
      <c r="J12" s="1269">
        <f t="shared" si="0"/>
        <v>0</v>
      </c>
      <c r="K12" s="1124">
        <v>0</v>
      </c>
      <c r="L12" s="1124">
        <v>0</v>
      </c>
    </row>
    <row r="13" spans="1:12">
      <c r="A13" s="1265">
        <v>8</v>
      </c>
      <c r="B13" s="1266" t="s">
        <v>26</v>
      </c>
      <c r="C13" s="1266">
        <v>0</v>
      </c>
      <c r="D13" s="1267">
        <v>0</v>
      </c>
      <c r="E13" s="1268">
        <v>0</v>
      </c>
      <c r="F13" s="1267">
        <v>9.9999999999999995E-7</v>
      </c>
      <c r="G13" s="1267">
        <v>9.9999999999999995E-7</v>
      </c>
      <c r="H13" s="1267">
        <v>0</v>
      </c>
      <c r="I13" s="1267">
        <f t="shared" ref="I13:I31" si="2">H13/G13%</f>
        <v>0</v>
      </c>
      <c r="J13" s="1269">
        <f t="shared" si="0"/>
        <v>9.9999999999999995E-7</v>
      </c>
      <c r="K13" s="1124">
        <v>0</v>
      </c>
      <c r="L13" s="1124">
        <f t="shared" si="1"/>
        <v>0</v>
      </c>
    </row>
    <row r="14" spans="1:12">
      <c r="A14" s="1265">
        <v>9</v>
      </c>
      <c r="B14" s="1266" t="s">
        <v>11</v>
      </c>
      <c r="C14" s="1266">
        <v>0</v>
      </c>
      <c r="D14" s="1267">
        <v>0</v>
      </c>
      <c r="E14" s="1268">
        <v>0</v>
      </c>
      <c r="F14" s="1267">
        <v>9.9999999999999995E-7</v>
      </c>
      <c r="G14" s="1267">
        <v>9.9999999999999995E-7</v>
      </c>
      <c r="H14" s="1267">
        <v>0</v>
      </c>
      <c r="I14" s="1267">
        <f t="shared" si="2"/>
        <v>0</v>
      </c>
      <c r="J14" s="1269">
        <f t="shared" si="0"/>
        <v>9.9999999999999995E-7</v>
      </c>
      <c r="K14" s="1124">
        <v>0</v>
      </c>
      <c r="L14" s="1124">
        <f t="shared" si="1"/>
        <v>0</v>
      </c>
    </row>
    <row r="15" spans="1:12">
      <c r="A15" s="1265">
        <v>10</v>
      </c>
      <c r="B15" s="1266" t="s">
        <v>90</v>
      </c>
      <c r="C15" s="1266">
        <v>1</v>
      </c>
      <c r="D15" s="1267">
        <v>4</v>
      </c>
      <c r="E15" s="1268">
        <v>32</v>
      </c>
      <c r="F15" s="1267">
        <v>198.83</v>
      </c>
      <c r="G15" s="1267">
        <v>9.9999999999999995E-7</v>
      </c>
      <c r="H15" s="1267">
        <v>0</v>
      </c>
      <c r="I15" s="1267">
        <f t="shared" si="2"/>
        <v>0</v>
      </c>
      <c r="J15" s="1269">
        <f t="shared" si="0"/>
        <v>9.9999999999999995E-7</v>
      </c>
      <c r="K15" s="1124">
        <v>0</v>
      </c>
      <c r="L15" s="1124">
        <f t="shared" si="1"/>
        <v>0</v>
      </c>
    </row>
    <row r="16" spans="1:12">
      <c r="A16" s="1265">
        <v>11</v>
      </c>
      <c r="B16" s="1266" t="s">
        <v>92</v>
      </c>
      <c r="C16" s="1266">
        <v>0</v>
      </c>
      <c r="D16" s="1267">
        <v>0</v>
      </c>
      <c r="E16" s="1268">
        <v>1</v>
      </c>
      <c r="F16" s="1267">
        <v>6.51</v>
      </c>
      <c r="G16" s="1267">
        <v>6.51</v>
      </c>
      <c r="H16" s="1267">
        <v>0</v>
      </c>
      <c r="I16" s="1267">
        <v>0</v>
      </c>
      <c r="J16" s="1269">
        <f t="shared" si="0"/>
        <v>6.51</v>
      </c>
      <c r="K16" s="1124">
        <v>6.51</v>
      </c>
      <c r="L16" s="1124">
        <v>0</v>
      </c>
    </row>
    <row r="17" spans="1:12">
      <c r="A17" s="1265">
        <v>12</v>
      </c>
      <c r="B17" s="1266" t="s">
        <v>51</v>
      </c>
      <c r="C17" s="1266">
        <v>0</v>
      </c>
      <c r="D17" s="1267">
        <v>0</v>
      </c>
      <c r="E17" s="1268">
        <v>1</v>
      </c>
      <c r="F17" s="1267">
        <v>1.87</v>
      </c>
      <c r="G17" s="1267">
        <v>1.89</v>
      </c>
      <c r="H17" s="1267">
        <v>0.02</v>
      </c>
      <c r="I17" s="1267">
        <f t="shared" si="2"/>
        <v>1.0582010582010581</v>
      </c>
      <c r="J17" s="1269">
        <f t="shared" si="0"/>
        <v>1.8699999999999999</v>
      </c>
      <c r="K17" s="1124">
        <v>1.87</v>
      </c>
      <c r="L17" s="1124">
        <f t="shared" si="1"/>
        <v>100</v>
      </c>
    </row>
    <row r="18" spans="1:12">
      <c r="A18" s="1265">
        <v>13</v>
      </c>
      <c r="B18" s="1266" t="s">
        <v>52</v>
      </c>
      <c r="C18" s="1266">
        <v>1</v>
      </c>
      <c r="D18" s="1267">
        <v>8.25</v>
      </c>
      <c r="E18" s="1268">
        <v>1</v>
      </c>
      <c r="F18" s="1267">
        <v>7.55</v>
      </c>
      <c r="G18" s="1267">
        <v>9.9999999999999995E-7</v>
      </c>
      <c r="H18" s="1267">
        <v>0</v>
      </c>
      <c r="I18" s="1267">
        <f t="shared" si="2"/>
        <v>0</v>
      </c>
      <c r="J18" s="1269">
        <f t="shared" si="0"/>
        <v>9.9999999999999995E-7</v>
      </c>
      <c r="K18" s="1124">
        <v>0</v>
      </c>
      <c r="L18" s="1124">
        <f t="shared" si="1"/>
        <v>0</v>
      </c>
    </row>
    <row r="19" spans="1:12">
      <c r="A19" s="1265">
        <v>14</v>
      </c>
      <c r="B19" s="1266" t="s">
        <v>28</v>
      </c>
      <c r="C19" s="1266">
        <v>0</v>
      </c>
      <c r="D19" s="1267">
        <v>0</v>
      </c>
      <c r="E19" s="1268">
        <v>0</v>
      </c>
      <c r="F19" s="1267">
        <v>0</v>
      </c>
      <c r="G19" s="1267">
        <v>9.9999999999999995E-7</v>
      </c>
      <c r="H19" s="1267">
        <v>0</v>
      </c>
      <c r="I19" s="1267">
        <f t="shared" si="2"/>
        <v>0</v>
      </c>
      <c r="J19" s="1269">
        <f t="shared" si="0"/>
        <v>9.9999999999999995E-7</v>
      </c>
      <c r="K19" s="1124">
        <v>0</v>
      </c>
      <c r="L19" s="1124">
        <v>0</v>
      </c>
    </row>
    <row r="20" spans="1:12">
      <c r="A20" s="1265">
        <v>15</v>
      </c>
      <c r="B20" s="1266" t="s">
        <v>10</v>
      </c>
      <c r="C20" s="1266">
        <v>28</v>
      </c>
      <c r="D20" s="1267">
        <v>241.85</v>
      </c>
      <c r="E20" s="1268">
        <v>329</v>
      </c>
      <c r="F20" s="1267">
        <v>1422.83</v>
      </c>
      <c r="G20" s="1267">
        <v>421</v>
      </c>
      <c r="H20" s="1267">
        <v>74.3</v>
      </c>
      <c r="I20" s="1267">
        <f t="shared" si="2"/>
        <v>17.648456057007124</v>
      </c>
      <c r="J20" s="1269">
        <f t="shared" si="0"/>
        <v>346.7</v>
      </c>
      <c r="K20" s="1124">
        <v>250.84</v>
      </c>
      <c r="L20" s="1124">
        <f t="shared" si="1"/>
        <v>17.629653577728895</v>
      </c>
    </row>
    <row r="21" spans="1:12">
      <c r="A21" s="1265">
        <v>16</v>
      </c>
      <c r="B21" s="1266" t="s">
        <v>98</v>
      </c>
      <c r="C21" s="1266">
        <v>0</v>
      </c>
      <c r="D21" s="1267">
        <v>0</v>
      </c>
      <c r="E21" s="1268">
        <v>0</v>
      </c>
      <c r="F21" s="1267">
        <v>9.9999999999999995E-7</v>
      </c>
      <c r="G21" s="1267">
        <v>9.9999999999999995E-7</v>
      </c>
      <c r="H21" s="1267">
        <v>0</v>
      </c>
      <c r="I21" s="1267">
        <f t="shared" si="2"/>
        <v>0</v>
      </c>
      <c r="J21" s="1269">
        <f t="shared" si="0"/>
        <v>9.9999999999999995E-7</v>
      </c>
      <c r="K21" s="1124">
        <v>0</v>
      </c>
      <c r="L21" s="1124">
        <f t="shared" si="1"/>
        <v>0</v>
      </c>
    </row>
    <row r="22" spans="1:12">
      <c r="A22" s="1265">
        <v>17</v>
      </c>
      <c r="B22" s="1266" t="s">
        <v>35</v>
      </c>
      <c r="C22" s="1266">
        <v>0</v>
      </c>
      <c r="D22" s="1267">
        <v>0</v>
      </c>
      <c r="E22" s="1268">
        <v>0</v>
      </c>
      <c r="F22" s="1267">
        <v>0</v>
      </c>
      <c r="G22" s="1267">
        <v>0</v>
      </c>
      <c r="H22" s="1267">
        <v>0</v>
      </c>
      <c r="I22" s="1267">
        <v>0</v>
      </c>
      <c r="J22" s="1269">
        <f t="shared" si="0"/>
        <v>0</v>
      </c>
      <c r="K22" s="1124">
        <v>0</v>
      </c>
      <c r="L22" s="1124">
        <v>0</v>
      </c>
    </row>
    <row r="23" spans="1:12">
      <c r="A23" s="1265">
        <v>18</v>
      </c>
      <c r="B23" s="1266" t="s">
        <v>54</v>
      </c>
      <c r="C23" s="1266">
        <v>0</v>
      </c>
      <c r="D23" s="1267">
        <v>0</v>
      </c>
      <c r="E23" s="1268">
        <v>22</v>
      </c>
      <c r="F23" s="1267">
        <v>80</v>
      </c>
      <c r="G23" s="1267">
        <v>10</v>
      </c>
      <c r="H23" s="1267">
        <v>4</v>
      </c>
      <c r="I23" s="1267">
        <f t="shared" si="2"/>
        <v>40</v>
      </c>
      <c r="J23" s="1269">
        <f t="shared" si="0"/>
        <v>6</v>
      </c>
      <c r="K23" s="1124">
        <v>7</v>
      </c>
      <c r="L23" s="1124">
        <f t="shared" si="1"/>
        <v>8.75</v>
      </c>
    </row>
    <row r="24" spans="1:12">
      <c r="A24" s="1265">
        <v>19</v>
      </c>
      <c r="B24" s="1266" t="s">
        <v>102</v>
      </c>
      <c r="C24" s="1266">
        <v>7</v>
      </c>
      <c r="D24" s="1267">
        <v>20.77</v>
      </c>
      <c r="E24" s="1268">
        <v>7</v>
      </c>
      <c r="F24" s="1267">
        <v>17.75</v>
      </c>
      <c r="G24" s="1267">
        <v>9.9999999999999995E-7</v>
      </c>
      <c r="H24" s="1267">
        <v>0</v>
      </c>
      <c r="I24" s="1267">
        <f t="shared" si="2"/>
        <v>0</v>
      </c>
      <c r="J24" s="1269">
        <f t="shared" si="0"/>
        <v>9.9999999999999995E-7</v>
      </c>
      <c r="K24" s="1124">
        <v>0</v>
      </c>
      <c r="L24" s="1124">
        <v>0</v>
      </c>
    </row>
    <row r="25" spans="1:12">
      <c r="A25" s="1265">
        <v>20</v>
      </c>
      <c r="B25" s="1266" t="s">
        <v>104</v>
      </c>
      <c r="C25" s="1266">
        <v>0</v>
      </c>
      <c r="D25" s="1267">
        <v>0</v>
      </c>
      <c r="E25" s="1268">
        <v>21</v>
      </c>
      <c r="F25" s="1267">
        <v>106.17</v>
      </c>
      <c r="G25" s="1267">
        <v>5.83</v>
      </c>
      <c r="H25" s="1267">
        <v>4.37</v>
      </c>
      <c r="I25" s="1267">
        <f t="shared" si="2"/>
        <v>74.957118353344768</v>
      </c>
      <c r="J25" s="1269">
        <f t="shared" si="0"/>
        <v>1.46</v>
      </c>
      <c r="K25" s="1124">
        <v>2.54</v>
      </c>
      <c r="L25" s="1124">
        <f>K25/F25%</f>
        <v>2.3923895639069417</v>
      </c>
    </row>
    <row r="26" spans="1:12">
      <c r="A26" s="1265">
        <v>21</v>
      </c>
      <c r="B26" s="1266" t="s">
        <v>106</v>
      </c>
      <c r="C26" s="1266">
        <v>0</v>
      </c>
      <c r="D26" s="1267">
        <v>0</v>
      </c>
      <c r="E26" s="1268">
        <v>0</v>
      </c>
      <c r="F26" s="1267">
        <v>9.9999999999999995E-7</v>
      </c>
      <c r="G26" s="1267">
        <v>9.9999999999999995E-7</v>
      </c>
      <c r="H26" s="1267">
        <v>0</v>
      </c>
      <c r="I26" s="1267">
        <f t="shared" si="2"/>
        <v>0</v>
      </c>
      <c r="J26" s="1269">
        <f t="shared" si="0"/>
        <v>9.9999999999999995E-7</v>
      </c>
      <c r="K26" s="1124">
        <v>0</v>
      </c>
      <c r="L26" s="1124">
        <f>K26/F26%</f>
        <v>0</v>
      </c>
    </row>
    <row r="27" spans="1:12">
      <c r="A27" s="1265">
        <v>22</v>
      </c>
      <c r="B27" s="1266" t="s">
        <v>108</v>
      </c>
      <c r="C27" s="1266">
        <v>0</v>
      </c>
      <c r="D27" s="1267">
        <v>0</v>
      </c>
      <c r="E27" s="1268">
        <v>0</v>
      </c>
      <c r="F27" s="1267">
        <v>0</v>
      </c>
      <c r="G27" s="1267">
        <v>0</v>
      </c>
      <c r="H27" s="1267">
        <v>0</v>
      </c>
      <c r="I27" s="1267">
        <v>0</v>
      </c>
      <c r="J27" s="1269">
        <f t="shared" si="0"/>
        <v>0</v>
      </c>
      <c r="K27" s="1124">
        <v>0</v>
      </c>
      <c r="L27" s="1124">
        <v>0</v>
      </c>
    </row>
    <row r="28" spans="1:12" ht="26.25">
      <c r="A28" s="1265">
        <v>23</v>
      </c>
      <c r="B28" s="1266" t="s">
        <v>59</v>
      </c>
      <c r="C28" s="1266">
        <v>0</v>
      </c>
      <c r="D28" s="1267">
        <v>0</v>
      </c>
      <c r="E28" s="1268">
        <v>0</v>
      </c>
      <c r="F28" s="1267">
        <v>0</v>
      </c>
      <c r="G28" s="1267">
        <v>0</v>
      </c>
      <c r="H28" s="1267">
        <v>0</v>
      </c>
      <c r="I28" s="1267">
        <v>0</v>
      </c>
      <c r="J28" s="1269">
        <v>0</v>
      </c>
      <c r="K28" s="1124">
        <v>0</v>
      </c>
      <c r="L28" s="1124">
        <v>0</v>
      </c>
    </row>
    <row r="29" spans="1:12">
      <c r="A29" s="1270" t="s">
        <v>113</v>
      </c>
      <c r="B29" s="1271" t="s">
        <v>13</v>
      </c>
      <c r="C29" s="1271">
        <f t="shared" ref="C29:H29" si="3">SUM(C6:C28)</f>
        <v>37</v>
      </c>
      <c r="D29" s="1272">
        <f t="shared" si="3"/>
        <v>274.87</v>
      </c>
      <c r="E29" s="1273">
        <f t="shared" si="3"/>
        <v>503</v>
      </c>
      <c r="F29" s="1272">
        <f t="shared" si="3"/>
        <v>2229.8200350000002</v>
      </c>
      <c r="G29" s="1272">
        <f t="shared" si="3"/>
        <v>445.23001199999999</v>
      </c>
      <c r="H29" s="1272">
        <f t="shared" si="3"/>
        <v>82.69</v>
      </c>
      <c r="I29" s="1272">
        <f>H29/G29%</f>
        <v>18.57242274134925</v>
      </c>
      <c r="J29" s="1274">
        <f t="shared" si="0"/>
        <v>362.54001199999999</v>
      </c>
      <c r="K29" s="1259">
        <f>SUM(K6:K28)</f>
        <v>515.51</v>
      </c>
      <c r="L29" s="1259">
        <f>K29/F29%</f>
        <v>23.118906095935223</v>
      </c>
    </row>
    <row r="30" spans="1:12">
      <c r="A30" s="1265">
        <v>1</v>
      </c>
      <c r="B30" s="1266" t="s">
        <v>16</v>
      </c>
      <c r="C30" s="1266">
        <v>0</v>
      </c>
      <c r="D30" s="1267">
        <v>0</v>
      </c>
      <c r="E30" s="1268">
        <v>305</v>
      </c>
      <c r="F30" s="1267">
        <v>1585.52</v>
      </c>
      <c r="G30" s="1267">
        <v>9.9999999999999995E-7</v>
      </c>
      <c r="H30" s="1267">
        <v>0</v>
      </c>
      <c r="I30" s="1267">
        <f t="shared" si="2"/>
        <v>0</v>
      </c>
      <c r="J30" s="1269">
        <v>0</v>
      </c>
      <c r="K30" s="1124">
        <v>143.43</v>
      </c>
      <c r="L30" s="1124">
        <f>K30/F30%</f>
        <v>9.0462435037085633</v>
      </c>
    </row>
    <row r="31" spans="1:12">
      <c r="A31" s="1275">
        <v>1</v>
      </c>
      <c r="B31" s="1276" t="s">
        <v>110</v>
      </c>
      <c r="C31" s="1276">
        <v>0</v>
      </c>
      <c r="D31" s="1277">
        <v>0</v>
      </c>
      <c r="E31" s="1278">
        <v>0</v>
      </c>
      <c r="F31" s="1277">
        <v>0</v>
      </c>
      <c r="G31" s="1267">
        <v>9.9999999999999995E-7</v>
      </c>
      <c r="H31" s="1277">
        <v>0</v>
      </c>
      <c r="I31" s="1267">
        <f t="shared" si="2"/>
        <v>0</v>
      </c>
      <c r="J31" s="1269">
        <f t="shared" si="0"/>
        <v>9.9999999999999995E-7</v>
      </c>
      <c r="K31" s="1124">
        <v>0</v>
      </c>
      <c r="L31" s="1124">
        <v>0</v>
      </c>
    </row>
    <row r="32" spans="1:12">
      <c r="A32" s="1279" t="s">
        <v>135</v>
      </c>
      <c r="B32" s="1279" t="s">
        <v>13</v>
      </c>
      <c r="C32" s="1279">
        <f>C31+C30+C29</f>
        <v>37</v>
      </c>
      <c r="D32" s="1280">
        <f>SUM(D29:D31)</f>
        <v>274.87</v>
      </c>
      <c r="E32" s="1279">
        <f>SUM(E29:E31)</f>
        <v>808</v>
      </c>
      <c r="F32" s="1280">
        <f>SUM(F29:F31)</f>
        <v>3815.3400350000002</v>
      </c>
      <c r="G32" s="1280">
        <f>SUM(G29:G31)</f>
        <v>445.23001399999998</v>
      </c>
      <c r="H32" s="1280">
        <f>SUM(H29:H31)</f>
        <v>82.69</v>
      </c>
      <c r="I32" s="1272">
        <f>H32/G32%</f>
        <v>18.572422657920811</v>
      </c>
      <c r="J32" s="1274">
        <f>SUM(J29:J31)</f>
        <v>362.54001299999999</v>
      </c>
      <c r="K32" s="1274">
        <f>SUM(K29:K31)</f>
        <v>658.94</v>
      </c>
      <c r="L32" s="1259">
        <f>K32/F32%</f>
        <v>17.270806637290981</v>
      </c>
    </row>
    <row r="33" spans="1:12">
      <c r="A33" s="1567" t="s">
        <v>241</v>
      </c>
      <c r="B33" s="1568"/>
      <c r="C33" s="1279">
        <v>28</v>
      </c>
      <c r="D33" s="1280">
        <v>241.85</v>
      </c>
      <c r="E33" s="1279">
        <v>768</v>
      </c>
      <c r="F33" s="1280">
        <v>3590.21</v>
      </c>
      <c r="G33" s="1280">
        <v>445.23</v>
      </c>
      <c r="H33" s="1280">
        <v>82.69</v>
      </c>
      <c r="I33" s="1272">
        <f>H33/G33%</f>
        <v>18.572423241919907</v>
      </c>
      <c r="J33" s="1274">
        <f>G33-H33</f>
        <v>362.54</v>
      </c>
      <c r="K33" s="1274">
        <v>658.94</v>
      </c>
      <c r="L33" s="1259">
        <v>18.350000000000001</v>
      </c>
    </row>
  </sheetData>
  <mergeCells count="15">
    <mergeCell ref="A33:B33"/>
    <mergeCell ref="A1:L1"/>
    <mergeCell ref="A2:J2"/>
    <mergeCell ref="D3:G3"/>
    <mergeCell ref="J3:L3"/>
    <mergeCell ref="A4:A5"/>
    <mergeCell ref="B4:B5"/>
    <mergeCell ref="C4:D4"/>
    <mergeCell ref="E4:F4"/>
    <mergeCell ref="G4:G5"/>
    <mergeCell ref="H4:H5"/>
    <mergeCell ref="I4:I5"/>
    <mergeCell ref="J4:J5"/>
    <mergeCell ref="K4:K5"/>
    <mergeCell ref="L4:L5"/>
  </mergeCells>
  <printOptions gridLines="1"/>
  <pageMargins left="0.7" right="0.7" top="0.75" bottom="0.75" header="0.3" footer="0.3"/>
  <pageSetup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1:G34"/>
  <sheetViews>
    <sheetView workbookViewId="0">
      <selection activeCell="M28" sqref="M28"/>
    </sheetView>
  </sheetViews>
  <sheetFormatPr defaultRowHeight="15"/>
  <cols>
    <col min="1" max="1" width="3.85546875" customWidth="1"/>
    <col min="2" max="2" width="5" customWidth="1"/>
    <col min="3" max="3" width="10.140625" bestFit="1" customWidth="1"/>
    <col min="4" max="4" width="17.42578125" bestFit="1" customWidth="1"/>
    <col min="5" max="5" width="15" bestFit="1" customWidth="1"/>
    <col min="6" max="6" width="12" bestFit="1" customWidth="1"/>
    <col min="7" max="7" width="13.5703125" bestFit="1" customWidth="1"/>
  </cols>
  <sheetData>
    <row r="1" spans="2:7" ht="15.75">
      <c r="B1" s="1482">
        <v>35</v>
      </c>
      <c r="C1" s="1482"/>
      <c r="D1" s="1482"/>
      <c r="E1" s="1482"/>
      <c r="F1" s="1482"/>
      <c r="G1" s="1482"/>
    </row>
    <row r="2" spans="2:7" ht="15.75">
      <c r="B2" s="1531" t="s">
        <v>317</v>
      </c>
      <c r="C2" s="1531"/>
      <c r="D2" s="1531"/>
      <c r="E2" s="1531"/>
      <c r="F2" s="1531"/>
      <c r="G2" s="1531"/>
    </row>
    <row r="3" spans="2:7" ht="15.75">
      <c r="B3" s="1531" t="s">
        <v>613</v>
      </c>
      <c r="C3" s="1531"/>
      <c r="D3" s="1531"/>
      <c r="E3" s="1531"/>
      <c r="F3" s="1531"/>
      <c r="G3" s="1531"/>
    </row>
    <row r="4" spans="2:7">
      <c r="B4" s="171"/>
      <c r="C4" s="171"/>
      <c r="D4" s="171"/>
      <c r="E4" s="171"/>
      <c r="F4" s="171"/>
      <c r="G4" s="171"/>
    </row>
    <row r="5" spans="2:7" ht="60">
      <c r="B5" s="1037" t="s">
        <v>130</v>
      </c>
      <c r="C5" s="1037" t="s">
        <v>131</v>
      </c>
      <c r="D5" s="1037" t="s">
        <v>318</v>
      </c>
      <c r="E5" s="1037" t="s">
        <v>319</v>
      </c>
      <c r="F5" s="1037" t="s">
        <v>320</v>
      </c>
      <c r="G5" s="1037" t="s">
        <v>311</v>
      </c>
    </row>
    <row r="6" spans="2:7" ht="15.75">
      <c r="B6" s="1281">
        <v>1</v>
      </c>
      <c r="C6" s="943" t="s">
        <v>78</v>
      </c>
      <c r="D6" s="943">
        <v>0</v>
      </c>
      <c r="E6" s="1282">
        <v>0</v>
      </c>
      <c r="F6" s="943">
        <v>0</v>
      </c>
      <c r="G6" s="1282">
        <v>0</v>
      </c>
    </row>
    <row r="7" spans="2:7" ht="15.75">
      <c r="B7" s="1281">
        <v>2</v>
      </c>
      <c r="C7" s="943" t="s">
        <v>27</v>
      </c>
      <c r="D7" s="943">
        <v>0</v>
      </c>
      <c r="E7" s="1282">
        <v>0</v>
      </c>
      <c r="F7" s="943">
        <v>0</v>
      </c>
      <c r="G7" s="1282">
        <v>0</v>
      </c>
    </row>
    <row r="8" spans="2:7" ht="15.75">
      <c r="B8" s="1281">
        <v>3</v>
      </c>
      <c r="C8" s="943" t="s">
        <v>46</v>
      </c>
      <c r="D8" s="943">
        <v>0</v>
      </c>
      <c r="E8" s="1282">
        <v>0</v>
      </c>
      <c r="F8" s="943">
        <v>0</v>
      </c>
      <c r="G8" s="1282">
        <v>0</v>
      </c>
    </row>
    <row r="9" spans="2:7" ht="15.75">
      <c r="B9" s="1281">
        <v>4</v>
      </c>
      <c r="C9" s="943" t="s">
        <v>32</v>
      </c>
      <c r="D9" s="943">
        <v>0</v>
      </c>
      <c r="E9" s="1282">
        <v>0</v>
      </c>
      <c r="F9" s="943">
        <v>0</v>
      </c>
      <c r="G9" s="1282">
        <v>0</v>
      </c>
    </row>
    <row r="10" spans="2:7" ht="15.75">
      <c r="B10" s="1281">
        <v>5</v>
      </c>
      <c r="C10" s="943" t="s">
        <v>83</v>
      </c>
      <c r="D10" s="943">
        <v>0</v>
      </c>
      <c r="E10" s="1282">
        <v>0</v>
      </c>
      <c r="F10" s="943">
        <v>0</v>
      </c>
      <c r="G10" s="1282">
        <v>0</v>
      </c>
    </row>
    <row r="11" spans="2:7" ht="15.75">
      <c r="B11" s="1281">
        <v>6</v>
      </c>
      <c r="C11" s="943" t="s">
        <v>85</v>
      </c>
      <c r="D11" s="943">
        <v>0</v>
      </c>
      <c r="E11" s="1282">
        <v>0</v>
      </c>
      <c r="F11" s="943">
        <v>0</v>
      </c>
      <c r="G11" s="1282">
        <v>0</v>
      </c>
    </row>
    <row r="12" spans="2:7" ht="15.75">
      <c r="B12" s="1281">
        <v>7</v>
      </c>
      <c r="C12" s="943" t="s">
        <v>17</v>
      </c>
      <c r="D12" s="943">
        <v>0</v>
      </c>
      <c r="E12" s="1282">
        <v>0</v>
      </c>
      <c r="F12" s="943">
        <v>0</v>
      </c>
      <c r="G12" s="1282">
        <v>0</v>
      </c>
    </row>
    <row r="13" spans="2:7" ht="15.75">
      <c r="B13" s="1281">
        <v>8</v>
      </c>
      <c r="C13" s="943" t="s">
        <v>26</v>
      </c>
      <c r="D13" s="943">
        <v>0</v>
      </c>
      <c r="E13" s="1282">
        <v>0</v>
      </c>
      <c r="F13" s="943">
        <v>0</v>
      </c>
      <c r="G13" s="1282">
        <v>0</v>
      </c>
    </row>
    <row r="14" spans="2:7" ht="15.75">
      <c r="B14" s="1281">
        <v>9</v>
      </c>
      <c r="C14" s="943" t="s">
        <v>11</v>
      </c>
      <c r="D14" s="943">
        <v>0</v>
      </c>
      <c r="E14" s="1282">
        <v>0</v>
      </c>
      <c r="F14" s="943">
        <v>0</v>
      </c>
      <c r="G14" s="1282">
        <v>0</v>
      </c>
    </row>
    <row r="15" spans="2:7" ht="15.75">
      <c r="B15" s="1281">
        <v>10</v>
      </c>
      <c r="C15" s="943" t="s">
        <v>90</v>
      </c>
      <c r="D15" s="943">
        <v>0</v>
      </c>
      <c r="E15" s="1282">
        <v>0</v>
      </c>
      <c r="F15" s="943">
        <v>0</v>
      </c>
      <c r="G15" s="1282">
        <v>0</v>
      </c>
    </row>
    <row r="16" spans="2:7" ht="15.75">
      <c r="B16" s="1281">
        <v>11</v>
      </c>
      <c r="C16" s="943" t="s">
        <v>92</v>
      </c>
      <c r="D16" s="943">
        <v>1</v>
      </c>
      <c r="E16" s="1282">
        <v>300</v>
      </c>
      <c r="F16" s="943">
        <v>2</v>
      </c>
      <c r="G16" s="1282">
        <v>800.12</v>
      </c>
    </row>
    <row r="17" spans="2:7" ht="15.75">
      <c r="B17" s="1281">
        <v>12</v>
      </c>
      <c r="C17" s="943" t="s">
        <v>51</v>
      </c>
      <c r="D17" s="943">
        <v>0</v>
      </c>
      <c r="E17" s="1282">
        <v>0</v>
      </c>
      <c r="F17" s="943">
        <v>0</v>
      </c>
      <c r="G17" s="1282">
        <v>0</v>
      </c>
    </row>
    <row r="18" spans="2:7" ht="15.75">
      <c r="B18" s="1281">
        <v>13</v>
      </c>
      <c r="C18" s="943" t="s">
        <v>52</v>
      </c>
      <c r="D18" s="943">
        <v>0</v>
      </c>
      <c r="E18" s="1282">
        <v>0</v>
      </c>
      <c r="F18" s="943">
        <v>0</v>
      </c>
      <c r="G18" s="1282">
        <v>0</v>
      </c>
    </row>
    <row r="19" spans="2:7" ht="15.75">
      <c r="B19" s="1281">
        <v>14</v>
      </c>
      <c r="C19" s="943" t="s">
        <v>28</v>
      </c>
      <c r="D19" s="943">
        <v>0</v>
      </c>
      <c r="E19" s="1282">
        <v>0</v>
      </c>
      <c r="F19" s="943">
        <v>0</v>
      </c>
      <c r="G19" s="1282">
        <v>0</v>
      </c>
    </row>
    <row r="20" spans="2:7" ht="15.75">
      <c r="B20" s="1281">
        <v>15</v>
      </c>
      <c r="C20" s="943" t="s">
        <v>10</v>
      </c>
      <c r="D20" s="943">
        <v>0</v>
      </c>
      <c r="E20" s="1282">
        <v>0</v>
      </c>
      <c r="F20" s="943">
        <v>25</v>
      </c>
      <c r="G20" s="1282">
        <v>241.39</v>
      </c>
    </row>
    <row r="21" spans="2:7" ht="15.75">
      <c r="B21" s="1281">
        <v>16</v>
      </c>
      <c r="C21" s="943" t="s">
        <v>98</v>
      </c>
      <c r="D21" s="943">
        <v>0</v>
      </c>
      <c r="E21" s="1282">
        <v>0</v>
      </c>
      <c r="F21" s="943">
        <v>0</v>
      </c>
      <c r="G21" s="1282">
        <v>0</v>
      </c>
    </row>
    <row r="22" spans="2:7" ht="15.75">
      <c r="B22" s="1281">
        <v>17</v>
      </c>
      <c r="C22" s="943" t="s">
        <v>35</v>
      </c>
      <c r="D22" s="943">
        <v>0</v>
      </c>
      <c r="E22" s="1282">
        <v>0</v>
      </c>
      <c r="F22" s="943">
        <v>1</v>
      </c>
      <c r="G22" s="1282">
        <v>28.9</v>
      </c>
    </row>
    <row r="23" spans="2:7" ht="15.75">
      <c r="B23" s="1281">
        <v>18</v>
      </c>
      <c r="C23" s="943" t="s">
        <v>54</v>
      </c>
      <c r="D23" s="943">
        <v>0</v>
      </c>
      <c r="E23" s="1282">
        <v>0</v>
      </c>
      <c r="F23" s="943">
        <v>0</v>
      </c>
      <c r="G23" s="1282">
        <v>0</v>
      </c>
    </row>
    <row r="24" spans="2:7" ht="15.75">
      <c r="B24" s="1281">
        <v>19</v>
      </c>
      <c r="C24" s="943" t="s">
        <v>102</v>
      </c>
      <c r="D24" s="943">
        <v>3</v>
      </c>
      <c r="E24" s="1282">
        <v>10</v>
      </c>
      <c r="F24" s="943">
        <v>6</v>
      </c>
      <c r="G24" s="1282">
        <v>12.32</v>
      </c>
    </row>
    <row r="25" spans="2:7" ht="15.75">
      <c r="B25" s="1281">
        <v>20</v>
      </c>
      <c r="C25" s="943" t="s">
        <v>104</v>
      </c>
      <c r="D25" s="943">
        <v>0</v>
      </c>
      <c r="E25" s="1282">
        <v>0</v>
      </c>
      <c r="F25" s="943">
        <v>1</v>
      </c>
      <c r="G25" s="1282">
        <v>60</v>
      </c>
    </row>
    <row r="26" spans="2:7" ht="15.75">
      <c r="B26" s="1281">
        <v>21</v>
      </c>
      <c r="C26" s="943" t="s">
        <v>106</v>
      </c>
      <c r="D26" s="943">
        <v>0</v>
      </c>
      <c r="E26" s="1282">
        <v>0</v>
      </c>
      <c r="F26" s="943">
        <v>0</v>
      </c>
      <c r="G26" s="1282">
        <v>0</v>
      </c>
    </row>
    <row r="27" spans="2:7" ht="15.75">
      <c r="B27" s="1281">
        <v>22</v>
      </c>
      <c r="C27" s="943" t="s">
        <v>108</v>
      </c>
      <c r="D27" s="943">
        <v>0</v>
      </c>
      <c r="E27" s="1282">
        <v>0</v>
      </c>
      <c r="F27" s="943">
        <v>0</v>
      </c>
      <c r="G27" s="1282">
        <v>0</v>
      </c>
    </row>
    <row r="28" spans="2:7" ht="15.75">
      <c r="B28" s="1281">
        <v>23</v>
      </c>
      <c r="C28" s="943" t="s">
        <v>286</v>
      </c>
      <c r="D28" s="943">
        <v>0</v>
      </c>
      <c r="E28" s="1282">
        <v>0</v>
      </c>
      <c r="F28" s="943">
        <v>0</v>
      </c>
      <c r="G28" s="1282">
        <v>0</v>
      </c>
    </row>
    <row r="29" spans="2:7" ht="15.75">
      <c r="B29" s="1283" t="s">
        <v>113</v>
      </c>
      <c r="C29" s="1283" t="s">
        <v>13</v>
      </c>
      <c r="D29" s="1283">
        <f>SUM(D6:D28)</f>
        <v>4</v>
      </c>
      <c r="E29" s="1284">
        <f>SUM(E6:E28)</f>
        <v>310</v>
      </c>
      <c r="F29" s="1283">
        <f>SUM(F6:F28)</f>
        <v>35</v>
      </c>
      <c r="G29" s="1284">
        <f>SUM(G6:G28)</f>
        <v>1142.73</v>
      </c>
    </row>
    <row r="30" spans="2:7" ht="15.75">
      <c r="B30" s="943">
        <v>1</v>
      </c>
      <c r="C30" s="943" t="s">
        <v>16</v>
      </c>
      <c r="D30" s="943">
        <v>0</v>
      </c>
      <c r="E30" s="1282">
        <v>0</v>
      </c>
      <c r="F30" s="943">
        <v>0</v>
      </c>
      <c r="G30" s="1282">
        <v>0</v>
      </c>
    </row>
    <row r="31" spans="2:7" ht="15.75">
      <c r="B31" s="943">
        <v>1</v>
      </c>
      <c r="C31" s="943" t="s">
        <v>110</v>
      </c>
      <c r="D31" s="943">
        <v>0</v>
      </c>
      <c r="E31" s="1282">
        <v>0</v>
      </c>
      <c r="F31" s="943">
        <v>5</v>
      </c>
      <c r="G31" s="1282">
        <v>331.62</v>
      </c>
    </row>
    <row r="32" spans="2:7" ht="15.75">
      <c r="B32" s="1283" t="s">
        <v>135</v>
      </c>
      <c r="C32" s="1283" t="s">
        <v>13</v>
      </c>
      <c r="D32" s="1283">
        <f>SUM(D29:D31)</f>
        <v>4</v>
      </c>
      <c r="E32" s="1284">
        <f>SUM(E29:E31)</f>
        <v>310</v>
      </c>
      <c r="F32" s="1283">
        <f>SUM(F29:F31)</f>
        <v>40</v>
      </c>
      <c r="G32" s="1284">
        <f>SUM(G29:G31)</f>
        <v>1474.35</v>
      </c>
    </row>
    <row r="33" spans="2:7">
      <c r="B33" s="240"/>
      <c r="C33" s="240"/>
      <c r="D33" s="240" t="s">
        <v>136</v>
      </c>
      <c r="E33" s="260"/>
      <c r="F33" s="240"/>
      <c r="G33" s="240"/>
    </row>
    <row r="34" spans="2:7" ht="15.75">
      <c r="B34" s="766"/>
      <c r="C34" s="943" t="s">
        <v>13</v>
      </c>
      <c r="D34" s="943">
        <v>1</v>
      </c>
      <c r="E34" s="1282">
        <v>300</v>
      </c>
      <c r="F34" s="943">
        <v>40</v>
      </c>
      <c r="G34" s="1282">
        <v>1467.81</v>
      </c>
    </row>
  </sheetData>
  <mergeCells count="3">
    <mergeCell ref="B1:G1"/>
    <mergeCell ref="B2:G2"/>
    <mergeCell ref="B3:G3"/>
  </mergeCells>
  <printOptions gridLines="1"/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34"/>
  <sheetViews>
    <sheetView topLeftCell="C1" workbookViewId="0">
      <selection activeCell="U20" sqref="U20"/>
    </sheetView>
  </sheetViews>
  <sheetFormatPr defaultRowHeight="15"/>
  <cols>
    <col min="8" max="8" width="9" customWidth="1"/>
  </cols>
  <sheetData>
    <row r="1" spans="1:19">
      <c r="A1" s="1494">
        <v>36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  <c r="R1" s="1494"/>
      <c r="S1" s="1494"/>
    </row>
    <row r="2" spans="1:19" ht="18">
      <c r="A2" s="1583" t="s">
        <v>272</v>
      </c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 t="s">
        <v>603</v>
      </c>
      <c r="N2" s="1583"/>
      <c r="O2" s="1583"/>
      <c r="P2" s="1583"/>
      <c r="Q2" s="1583"/>
      <c r="R2" s="1583"/>
      <c r="S2" s="1583"/>
    </row>
    <row r="3" spans="1:19" ht="18">
      <c r="A3" s="741"/>
      <c r="B3" s="741"/>
      <c r="C3" s="741"/>
      <c r="D3" s="741"/>
      <c r="E3" s="741"/>
      <c r="F3" s="741"/>
      <c r="G3" s="1584" t="s">
        <v>273</v>
      </c>
      <c r="H3" s="1584"/>
      <c r="I3" s="1584"/>
      <c r="J3" s="1584"/>
      <c r="K3" s="741"/>
      <c r="L3" s="741"/>
      <c r="M3" s="741"/>
      <c r="N3" s="741"/>
      <c r="O3" s="741"/>
      <c r="P3" s="741"/>
      <c r="Q3" s="233"/>
      <c r="R3" s="741"/>
      <c r="S3" s="741"/>
    </row>
    <row r="4" spans="1:19" ht="15.75">
      <c r="A4" s="1585" t="s">
        <v>274</v>
      </c>
      <c r="B4" s="1586" t="s">
        <v>275</v>
      </c>
      <c r="C4" s="1587" t="s">
        <v>276</v>
      </c>
      <c r="D4" s="1587"/>
      <c r="E4" s="1587"/>
      <c r="F4" s="1587"/>
      <c r="G4" s="1587" t="s">
        <v>277</v>
      </c>
      <c r="H4" s="1587"/>
      <c r="I4" s="1587"/>
      <c r="J4" s="1587"/>
      <c r="K4" s="1587"/>
      <c r="L4" s="1587"/>
      <c r="M4" s="1587"/>
      <c r="N4" s="1587"/>
      <c r="O4" s="1587"/>
      <c r="P4" s="1587"/>
      <c r="Q4" s="1587"/>
      <c r="R4" s="1587"/>
      <c r="S4" s="1587"/>
    </row>
    <row r="5" spans="1:19">
      <c r="A5" s="1585"/>
      <c r="B5" s="1586"/>
      <c r="C5" s="1588" t="s">
        <v>278</v>
      </c>
      <c r="D5" s="1588"/>
      <c r="E5" s="1588" t="s">
        <v>279</v>
      </c>
      <c r="F5" s="1588"/>
      <c r="G5" s="1554" t="s">
        <v>243</v>
      </c>
      <c r="H5" s="1582" t="s">
        <v>278</v>
      </c>
      <c r="I5" s="1582"/>
      <c r="J5" s="1582"/>
      <c r="K5" s="1582"/>
      <c r="L5" s="1582"/>
      <c r="M5" s="1582"/>
      <c r="N5" s="1582" t="s">
        <v>279</v>
      </c>
      <c r="O5" s="1582"/>
      <c r="P5" s="1582"/>
      <c r="Q5" s="1582"/>
      <c r="R5" s="1582"/>
      <c r="S5" s="1582"/>
    </row>
    <row r="6" spans="1:19">
      <c r="A6" s="1585"/>
      <c r="B6" s="1586"/>
      <c r="C6" s="1588"/>
      <c r="D6" s="1588"/>
      <c r="E6" s="1588"/>
      <c r="F6" s="1588"/>
      <c r="G6" s="1554"/>
      <c r="H6" s="1555" t="s">
        <v>280</v>
      </c>
      <c r="I6" s="1555"/>
      <c r="J6" s="1555" t="s">
        <v>281</v>
      </c>
      <c r="K6" s="1555"/>
      <c r="L6" s="1555" t="s">
        <v>13</v>
      </c>
      <c r="M6" s="1555"/>
      <c r="N6" s="1555" t="s">
        <v>280</v>
      </c>
      <c r="O6" s="1555"/>
      <c r="P6" s="1555" t="s">
        <v>281</v>
      </c>
      <c r="Q6" s="1555"/>
      <c r="R6" s="1555" t="s">
        <v>13</v>
      </c>
      <c r="S6" s="1555"/>
    </row>
    <row r="7" spans="1:19">
      <c r="A7" s="1585"/>
      <c r="B7" s="1586"/>
      <c r="C7" s="234" t="s">
        <v>282</v>
      </c>
      <c r="D7" s="235" t="s">
        <v>283</v>
      </c>
      <c r="E7" s="234" t="s">
        <v>282</v>
      </c>
      <c r="F7" s="236" t="s">
        <v>283</v>
      </c>
      <c r="G7" s="1554"/>
      <c r="H7" s="234" t="s">
        <v>282</v>
      </c>
      <c r="I7" s="234" t="s">
        <v>283</v>
      </c>
      <c r="J7" s="234" t="s">
        <v>282</v>
      </c>
      <c r="K7" s="234" t="s">
        <v>283</v>
      </c>
      <c r="L7" s="234" t="s">
        <v>282</v>
      </c>
      <c r="M7" s="234" t="s">
        <v>283</v>
      </c>
      <c r="N7" s="234" t="s">
        <v>282</v>
      </c>
      <c r="O7" s="234" t="s">
        <v>283</v>
      </c>
      <c r="P7" s="234" t="s">
        <v>282</v>
      </c>
      <c r="Q7" s="234" t="s">
        <v>283</v>
      </c>
      <c r="R7" s="234" t="s">
        <v>282</v>
      </c>
      <c r="S7" s="234" t="s">
        <v>283</v>
      </c>
    </row>
    <row r="8" spans="1:19">
      <c r="A8" s="768">
        <v>1</v>
      </c>
      <c r="B8" s="767" t="s">
        <v>78</v>
      </c>
      <c r="C8" s="767">
        <v>0</v>
      </c>
      <c r="D8" s="754">
        <v>0</v>
      </c>
      <c r="E8" s="767">
        <v>0</v>
      </c>
      <c r="F8" s="754">
        <v>0</v>
      </c>
      <c r="G8" s="768">
        <v>1</v>
      </c>
      <c r="H8" s="767">
        <v>0</v>
      </c>
      <c r="I8" s="754">
        <v>0</v>
      </c>
      <c r="J8" s="767">
        <v>0</v>
      </c>
      <c r="K8" s="754">
        <v>0</v>
      </c>
      <c r="L8" s="767">
        <f t="shared" ref="L8:M28" si="0">J8+H8</f>
        <v>0</v>
      </c>
      <c r="M8" s="754">
        <f t="shared" si="0"/>
        <v>0</v>
      </c>
      <c r="N8" s="767">
        <v>0</v>
      </c>
      <c r="O8" s="754">
        <v>0</v>
      </c>
      <c r="P8" s="767">
        <v>0</v>
      </c>
      <c r="Q8" s="754">
        <v>0</v>
      </c>
      <c r="R8" s="767">
        <f t="shared" ref="R8:S28" si="1">P8+N8</f>
        <v>0</v>
      </c>
      <c r="S8" s="754">
        <f t="shared" si="1"/>
        <v>0</v>
      </c>
    </row>
    <row r="9" spans="1:19">
      <c r="A9" s="765">
        <v>2</v>
      </c>
      <c r="B9" s="766" t="s">
        <v>27</v>
      </c>
      <c r="C9" s="767">
        <v>0</v>
      </c>
      <c r="D9" s="754">
        <v>0</v>
      </c>
      <c r="E9" s="767">
        <v>1</v>
      </c>
      <c r="F9" s="754">
        <v>2.09</v>
      </c>
      <c r="G9" s="768">
        <v>3</v>
      </c>
      <c r="H9" s="767">
        <v>0</v>
      </c>
      <c r="I9" s="754">
        <v>0</v>
      </c>
      <c r="J9" s="767">
        <v>0</v>
      </c>
      <c r="K9" s="754">
        <v>0</v>
      </c>
      <c r="L9" s="767">
        <f t="shared" si="0"/>
        <v>0</v>
      </c>
      <c r="M9" s="754">
        <f t="shared" si="0"/>
        <v>0</v>
      </c>
      <c r="N9" s="767">
        <v>0</v>
      </c>
      <c r="O9" s="754">
        <v>0</v>
      </c>
      <c r="P9" s="767">
        <v>0</v>
      </c>
      <c r="Q9" s="754">
        <v>0</v>
      </c>
      <c r="R9" s="767">
        <f t="shared" si="1"/>
        <v>0</v>
      </c>
      <c r="S9" s="754">
        <f t="shared" si="1"/>
        <v>0</v>
      </c>
    </row>
    <row r="10" spans="1:19">
      <c r="A10" s="765">
        <v>3</v>
      </c>
      <c r="B10" s="766" t="s">
        <v>46</v>
      </c>
      <c r="C10" s="767">
        <v>0</v>
      </c>
      <c r="D10" s="754">
        <v>0</v>
      </c>
      <c r="E10" s="767">
        <v>0</v>
      </c>
      <c r="F10" s="754">
        <v>0</v>
      </c>
      <c r="G10" s="768">
        <v>1</v>
      </c>
      <c r="H10" s="767">
        <v>0</v>
      </c>
      <c r="I10" s="754">
        <v>0</v>
      </c>
      <c r="J10" s="767">
        <v>0</v>
      </c>
      <c r="K10" s="754">
        <v>0</v>
      </c>
      <c r="L10" s="767">
        <f t="shared" si="0"/>
        <v>0</v>
      </c>
      <c r="M10" s="754">
        <f t="shared" si="0"/>
        <v>0</v>
      </c>
      <c r="N10" s="767">
        <v>0</v>
      </c>
      <c r="O10" s="754">
        <v>0</v>
      </c>
      <c r="P10" s="767">
        <v>0</v>
      </c>
      <c r="Q10" s="754">
        <v>0</v>
      </c>
      <c r="R10" s="767">
        <f t="shared" si="1"/>
        <v>0</v>
      </c>
      <c r="S10" s="754">
        <f t="shared" si="1"/>
        <v>0</v>
      </c>
    </row>
    <row r="11" spans="1:19">
      <c r="A11" s="765">
        <v>4</v>
      </c>
      <c r="B11" s="766" t="s">
        <v>32</v>
      </c>
      <c r="C11" s="767">
        <v>7</v>
      </c>
      <c r="D11" s="754">
        <v>2</v>
      </c>
      <c r="E11" s="767">
        <v>10</v>
      </c>
      <c r="F11" s="754">
        <v>4.5</v>
      </c>
      <c r="G11" s="768">
        <v>2</v>
      </c>
      <c r="H11" s="767">
        <v>1</v>
      </c>
      <c r="I11" s="754">
        <v>2</v>
      </c>
      <c r="J11" s="767">
        <v>0</v>
      </c>
      <c r="K11" s="754">
        <v>0</v>
      </c>
      <c r="L11" s="767">
        <v>1</v>
      </c>
      <c r="M11" s="754">
        <v>2</v>
      </c>
      <c r="N11" s="767">
        <v>1</v>
      </c>
      <c r="O11" s="754">
        <v>2</v>
      </c>
      <c r="P11" s="767">
        <v>9</v>
      </c>
      <c r="Q11" s="754">
        <v>7.36</v>
      </c>
      <c r="R11" s="767">
        <f>N11+P11</f>
        <v>10</v>
      </c>
      <c r="S11" s="754">
        <f>O11+Q11</f>
        <v>9.36</v>
      </c>
    </row>
    <row r="12" spans="1:19">
      <c r="A12" s="1029">
        <v>5</v>
      </c>
      <c r="B12" s="715" t="s">
        <v>83</v>
      </c>
      <c r="C12" s="715">
        <v>0</v>
      </c>
      <c r="D12" s="163">
        <v>0</v>
      </c>
      <c r="E12" s="715">
        <v>0</v>
      </c>
      <c r="F12" s="163">
        <v>0</v>
      </c>
      <c r="G12" s="768">
        <v>1</v>
      </c>
      <c r="H12" s="715">
        <v>0</v>
      </c>
      <c r="I12" s="163">
        <v>0</v>
      </c>
      <c r="J12" s="715">
        <v>0</v>
      </c>
      <c r="K12" s="163">
        <v>0</v>
      </c>
      <c r="L12" s="715">
        <f t="shared" si="0"/>
        <v>0</v>
      </c>
      <c r="M12" s="163">
        <f t="shared" si="0"/>
        <v>0</v>
      </c>
      <c r="N12" s="715">
        <v>0</v>
      </c>
      <c r="O12" s="163">
        <v>0</v>
      </c>
      <c r="P12" s="715">
        <v>1</v>
      </c>
      <c r="Q12" s="163">
        <v>5.47</v>
      </c>
      <c r="R12" s="715">
        <f t="shared" si="1"/>
        <v>1</v>
      </c>
      <c r="S12" s="163">
        <f t="shared" si="1"/>
        <v>5.47</v>
      </c>
    </row>
    <row r="13" spans="1:19">
      <c r="A13" s="765">
        <v>6</v>
      </c>
      <c r="B13" s="766" t="s">
        <v>85</v>
      </c>
      <c r="C13" s="767">
        <v>1</v>
      </c>
      <c r="D13" s="754">
        <v>3.3</v>
      </c>
      <c r="E13" s="767">
        <v>1</v>
      </c>
      <c r="F13" s="754">
        <v>3.3</v>
      </c>
      <c r="G13" s="768">
        <v>6</v>
      </c>
      <c r="H13" s="767">
        <v>0</v>
      </c>
      <c r="I13" s="754">
        <v>0</v>
      </c>
      <c r="J13" s="767">
        <v>0</v>
      </c>
      <c r="K13" s="754">
        <v>0</v>
      </c>
      <c r="L13" s="767">
        <f t="shared" si="0"/>
        <v>0</v>
      </c>
      <c r="M13" s="754">
        <f t="shared" si="0"/>
        <v>0</v>
      </c>
      <c r="N13" s="767">
        <v>0</v>
      </c>
      <c r="O13" s="754">
        <v>0</v>
      </c>
      <c r="P13" s="767">
        <v>0</v>
      </c>
      <c r="Q13" s="754">
        <v>0</v>
      </c>
      <c r="R13" s="767">
        <f t="shared" si="1"/>
        <v>0</v>
      </c>
      <c r="S13" s="754">
        <f t="shared" si="1"/>
        <v>0</v>
      </c>
    </row>
    <row r="14" spans="1:19">
      <c r="A14" s="765">
        <v>7</v>
      </c>
      <c r="B14" s="766" t="s">
        <v>17</v>
      </c>
      <c r="C14" s="767">
        <v>0</v>
      </c>
      <c r="D14" s="754">
        <v>0</v>
      </c>
      <c r="E14" s="767">
        <v>80</v>
      </c>
      <c r="F14" s="754">
        <v>2.1</v>
      </c>
      <c r="G14" s="768">
        <v>5</v>
      </c>
      <c r="H14" s="767">
        <v>0</v>
      </c>
      <c r="I14" s="754">
        <v>0</v>
      </c>
      <c r="J14" s="767">
        <v>0</v>
      </c>
      <c r="K14" s="754">
        <v>0</v>
      </c>
      <c r="L14" s="767">
        <f t="shared" si="0"/>
        <v>0</v>
      </c>
      <c r="M14" s="754">
        <f t="shared" si="0"/>
        <v>0</v>
      </c>
      <c r="N14" s="767">
        <v>0</v>
      </c>
      <c r="O14" s="754">
        <v>0</v>
      </c>
      <c r="P14" s="767">
        <v>6</v>
      </c>
      <c r="Q14" s="754">
        <v>5.98</v>
      </c>
      <c r="R14" s="767">
        <f t="shared" si="1"/>
        <v>6</v>
      </c>
      <c r="S14" s="754">
        <f t="shared" si="1"/>
        <v>5.98</v>
      </c>
    </row>
    <row r="15" spans="1:19">
      <c r="A15" s="161">
        <v>8</v>
      </c>
      <c r="B15" s="167" t="s">
        <v>26</v>
      </c>
      <c r="C15" s="767">
        <v>0</v>
      </c>
      <c r="D15" s="754">
        <v>0</v>
      </c>
      <c r="E15" s="767">
        <v>0</v>
      </c>
      <c r="F15" s="754">
        <v>0</v>
      </c>
      <c r="G15" s="768">
        <v>3</v>
      </c>
      <c r="H15" s="767">
        <v>0</v>
      </c>
      <c r="I15" s="754">
        <v>0</v>
      </c>
      <c r="J15" s="767">
        <v>0</v>
      </c>
      <c r="K15" s="754">
        <v>0</v>
      </c>
      <c r="L15" s="767">
        <f t="shared" si="0"/>
        <v>0</v>
      </c>
      <c r="M15" s="754">
        <f t="shared" si="0"/>
        <v>0</v>
      </c>
      <c r="N15" s="767">
        <v>0</v>
      </c>
      <c r="O15" s="754">
        <v>0</v>
      </c>
      <c r="P15" s="767">
        <v>0</v>
      </c>
      <c r="Q15" s="754">
        <v>0</v>
      </c>
      <c r="R15" s="767">
        <f t="shared" si="1"/>
        <v>0</v>
      </c>
      <c r="S15" s="754">
        <f t="shared" si="1"/>
        <v>0</v>
      </c>
    </row>
    <row r="16" spans="1:19">
      <c r="A16" s="765">
        <v>9</v>
      </c>
      <c r="B16" s="766" t="s">
        <v>11</v>
      </c>
      <c r="C16" s="767">
        <v>0</v>
      </c>
      <c r="D16" s="754">
        <v>0</v>
      </c>
      <c r="E16" s="767">
        <v>0</v>
      </c>
      <c r="F16" s="754">
        <v>0</v>
      </c>
      <c r="G16" s="768">
        <v>3</v>
      </c>
      <c r="H16" s="767">
        <v>0</v>
      </c>
      <c r="I16" s="754">
        <v>0</v>
      </c>
      <c r="J16" s="767">
        <v>0</v>
      </c>
      <c r="K16" s="754">
        <v>0</v>
      </c>
      <c r="L16" s="767">
        <f t="shared" si="0"/>
        <v>0</v>
      </c>
      <c r="M16" s="754">
        <f t="shared" si="0"/>
        <v>0</v>
      </c>
      <c r="N16" s="767">
        <v>0</v>
      </c>
      <c r="O16" s="754">
        <v>0</v>
      </c>
      <c r="P16" s="767">
        <v>0</v>
      </c>
      <c r="Q16" s="754">
        <v>0</v>
      </c>
      <c r="R16" s="767">
        <f t="shared" si="1"/>
        <v>0</v>
      </c>
      <c r="S16" s="754">
        <f t="shared" si="1"/>
        <v>0</v>
      </c>
    </row>
    <row r="17" spans="1:19">
      <c r="A17" s="765">
        <v>10</v>
      </c>
      <c r="B17" s="766" t="s">
        <v>90</v>
      </c>
      <c r="C17" s="767">
        <v>0</v>
      </c>
      <c r="D17" s="754">
        <v>0</v>
      </c>
      <c r="E17" s="767">
        <v>0</v>
      </c>
      <c r="F17" s="754">
        <v>0</v>
      </c>
      <c r="G17" s="768">
        <v>1</v>
      </c>
      <c r="H17" s="767">
        <v>0</v>
      </c>
      <c r="I17" s="754">
        <v>0</v>
      </c>
      <c r="J17" s="767">
        <v>0</v>
      </c>
      <c r="K17" s="754">
        <v>0</v>
      </c>
      <c r="L17" s="767">
        <f t="shared" si="0"/>
        <v>0</v>
      </c>
      <c r="M17" s="754">
        <f t="shared" si="0"/>
        <v>0</v>
      </c>
      <c r="N17" s="767">
        <v>0</v>
      </c>
      <c r="O17" s="754">
        <v>0</v>
      </c>
      <c r="P17" s="767">
        <v>0</v>
      </c>
      <c r="Q17" s="754">
        <v>0</v>
      </c>
      <c r="R17" s="767">
        <f t="shared" si="1"/>
        <v>0</v>
      </c>
      <c r="S17" s="754">
        <f t="shared" si="1"/>
        <v>0</v>
      </c>
    </row>
    <row r="18" spans="1:19">
      <c r="A18" s="765">
        <v>11</v>
      </c>
      <c r="B18" s="766" t="s">
        <v>284</v>
      </c>
      <c r="C18" s="767">
        <v>0</v>
      </c>
      <c r="D18" s="754">
        <v>0</v>
      </c>
      <c r="E18" s="767">
        <v>0</v>
      </c>
      <c r="F18" s="754">
        <v>0</v>
      </c>
      <c r="G18" s="768">
        <v>1</v>
      </c>
      <c r="H18" s="767">
        <v>0</v>
      </c>
      <c r="I18" s="754">
        <v>0</v>
      </c>
      <c r="J18" s="767">
        <v>0</v>
      </c>
      <c r="K18" s="754">
        <v>0</v>
      </c>
      <c r="L18" s="767">
        <f t="shared" si="0"/>
        <v>0</v>
      </c>
      <c r="M18" s="754">
        <f t="shared" si="0"/>
        <v>0</v>
      </c>
      <c r="N18" s="767">
        <v>0</v>
      </c>
      <c r="O18" s="754">
        <v>0</v>
      </c>
      <c r="P18" s="767">
        <v>0</v>
      </c>
      <c r="Q18" s="754">
        <v>0</v>
      </c>
      <c r="R18" s="767">
        <f t="shared" si="1"/>
        <v>0</v>
      </c>
      <c r="S18" s="754">
        <f t="shared" si="1"/>
        <v>0</v>
      </c>
    </row>
    <row r="19" spans="1:19">
      <c r="A19" s="765">
        <v>12</v>
      </c>
      <c r="B19" s="766" t="s">
        <v>51</v>
      </c>
      <c r="C19" s="767">
        <v>0</v>
      </c>
      <c r="D19" s="754">
        <v>0</v>
      </c>
      <c r="E19" s="767">
        <v>0</v>
      </c>
      <c r="F19" s="754">
        <v>0</v>
      </c>
      <c r="G19" s="768">
        <v>1</v>
      </c>
      <c r="H19" s="767">
        <v>0</v>
      </c>
      <c r="I19" s="754">
        <v>0</v>
      </c>
      <c r="J19" s="767">
        <v>0</v>
      </c>
      <c r="K19" s="754">
        <v>0</v>
      </c>
      <c r="L19" s="767">
        <f t="shared" si="0"/>
        <v>0</v>
      </c>
      <c r="M19" s="754">
        <f t="shared" si="0"/>
        <v>0</v>
      </c>
      <c r="N19" s="767">
        <v>0</v>
      </c>
      <c r="O19" s="754">
        <v>0</v>
      </c>
      <c r="P19" s="767">
        <v>0</v>
      </c>
      <c r="Q19" s="754">
        <v>0</v>
      </c>
      <c r="R19" s="767">
        <f t="shared" si="1"/>
        <v>0</v>
      </c>
      <c r="S19" s="754">
        <f t="shared" si="1"/>
        <v>0</v>
      </c>
    </row>
    <row r="20" spans="1:19">
      <c r="A20" s="164">
        <v>13</v>
      </c>
      <c r="B20" s="165" t="s">
        <v>52</v>
      </c>
      <c r="C20" s="715">
        <v>0</v>
      </c>
      <c r="D20" s="163">
        <v>0</v>
      </c>
      <c r="E20" s="715">
        <v>3</v>
      </c>
      <c r="F20" s="163">
        <v>0.03</v>
      </c>
      <c r="G20" s="768">
        <v>1</v>
      </c>
      <c r="H20" s="715">
        <v>0</v>
      </c>
      <c r="I20" s="163">
        <v>0</v>
      </c>
      <c r="J20" s="715">
        <v>0</v>
      </c>
      <c r="K20" s="163">
        <v>0</v>
      </c>
      <c r="L20" s="715">
        <f t="shared" si="0"/>
        <v>0</v>
      </c>
      <c r="M20" s="163">
        <f t="shared" si="0"/>
        <v>0</v>
      </c>
      <c r="N20" s="715">
        <v>0</v>
      </c>
      <c r="O20" s="163">
        <v>0</v>
      </c>
      <c r="P20" s="715">
        <v>3</v>
      </c>
      <c r="Q20" s="163">
        <v>0.8</v>
      </c>
      <c r="R20" s="715">
        <f t="shared" si="1"/>
        <v>3</v>
      </c>
      <c r="S20" s="163">
        <f t="shared" si="1"/>
        <v>0.8</v>
      </c>
    </row>
    <row r="21" spans="1:19">
      <c r="A21" s="765">
        <v>14</v>
      </c>
      <c r="B21" s="766" t="s">
        <v>28</v>
      </c>
      <c r="C21" s="767">
        <v>0</v>
      </c>
      <c r="D21" s="754">
        <v>0</v>
      </c>
      <c r="E21" s="767">
        <v>39</v>
      </c>
      <c r="F21" s="754">
        <v>122</v>
      </c>
      <c r="G21" s="768">
        <v>1</v>
      </c>
      <c r="H21" s="767">
        <v>0</v>
      </c>
      <c r="I21" s="754">
        <v>0</v>
      </c>
      <c r="J21" s="767">
        <v>5</v>
      </c>
      <c r="K21" s="754">
        <v>0.1</v>
      </c>
      <c r="L21" s="767">
        <v>5</v>
      </c>
      <c r="M21" s="754">
        <f t="shared" si="0"/>
        <v>0.1</v>
      </c>
      <c r="N21" s="767">
        <v>0</v>
      </c>
      <c r="O21" s="754">
        <v>0</v>
      </c>
      <c r="P21" s="767">
        <v>66</v>
      </c>
      <c r="Q21" s="754">
        <v>64.58</v>
      </c>
      <c r="R21" s="767">
        <f>P21+N21</f>
        <v>66</v>
      </c>
      <c r="S21" s="754">
        <f>Q21+O21</f>
        <v>64.58</v>
      </c>
    </row>
    <row r="22" spans="1:19">
      <c r="A22" s="161">
        <v>15</v>
      </c>
      <c r="B22" s="167" t="s">
        <v>10</v>
      </c>
      <c r="C22" s="767">
        <v>25</v>
      </c>
      <c r="D22" s="754">
        <v>28</v>
      </c>
      <c r="E22" s="767">
        <v>284</v>
      </c>
      <c r="F22" s="754">
        <v>38.9</v>
      </c>
      <c r="G22" s="768">
        <v>39</v>
      </c>
      <c r="H22" s="767">
        <v>0</v>
      </c>
      <c r="I22" s="754">
        <v>0</v>
      </c>
      <c r="J22" s="767">
        <v>46</v>
      </c>
      <c r="K22" s="754">
        <v>63.42</v>
      </c>
      <c r="L22" s="767">
        <v>46</v>
      </c>
      <c r="M22" s="754">
        <f t="shared" si="0"/>
        <v>63.42</v>
      </c>
      <c r="N22" s="767">
        <v>16</v>
      </c>
      <c r="O22" s="754">
        <v>22.25</v>
      </c>
      <c r="P22" s="767">
        <v>594</v>
      </c>
      <c r="Q22" s="754">
        <v>103.72</v>
      </c>
      <c r="R22" s="767">
        <f t="shared" si="1"/>
        <v>610</v>
      </c>
      <c r="S22" s="754">
        <f t="shared" si="1"/>
        <v>125.97</v>
      </c>
    </row>
    <row r="23" spans="1:19">
      <c r="A23" s="765">
        <v>16</v>
      </c>
      <c r="B23" s="766" t="s">
        <v>53</v>
      </c>
      <c r="C23" s="767">
        <v>6</v>
      </c>
      <c r="D23" s="754">
        <v>0.78</v>
      </c>
      <c r="E23" s="767">
        <v>45</v>
      </c>
      <c r="F23" s="754">
        <v>2.77</v>
      </c>
      <c r="G23" s="768">
        <v>1</v>
      </c>
      <c r="H23" s="767">
        <v>0</v>
      </c>
      <c r="I23" s="754">
        <v>0</v>
      </c>
      <c r="J23" s="767">
        <v>5</v>
      </c>
      <c r="K23" s="754">
        <v>18</v>
      </c>
      <c r="L23" s="767">
        <f t="shared" si="0"/>
        <v>5</v>
      </c>
      <c r="M23" s="754">
        <f t="shared" si="0"/>
        <v>18</v>
      </c>
      <c r="N23" s="767">
        <v>0</v>
      </c>
      <c r="O23" s="754">
        <v>0</v>
      </c>
      <c r="P23" s="767">
        <v>5</v>
      </c>
      <c r="Q23" s="754">
        <v>18</v>
      </c>
      <c r="R23" s="767">
        <f t="shared" si="1"/>
        <v>5</v>
      </c>
      <c r="S23" s="754">
        <f t="shared" si="1"/>
        <v>18</v>
      </c>
    </row>
    <row r="24" spans="1:19">
      <c r="A24" s="765">
        <v>17</v>
      </c>
      <c r="B24" s="766" t="s">
        <v>35</v>
      </c>
      <c r="C24" s="767">
        <v>15</v>
      </c>
      <c r="D24" s="754">
        <v>1.26</v>
      </c>
      <c r="E24" s="767">
        <v>33</v>
      </c>
      <c r="F24" s="754">
        <v>1.91</v>
      </c>
      <c r="G24" s="768">
        <v>2</v>
      </c>
      <c r="H24" s="767">
        <v>1</v>
      </c>
      <c r="I24" s="754">
        <v>0.2</v>
      </c>
      <c r="J24" s="767">
        <v>5</v>
      </c>
      <c r="K24" s="754">
        <v>1.25</v>
      </c>
      <c r="L24" s="767">
        <f t="shared" si="0"/>
        <v>6</v>
      </c>
      <c r="M24" s="754">
        <f t="shared" si="0"/>
        <v>1.45</v>
      </c>
      <c r="N24" s="767">
        <v>289</v>
      </c>
      <c r="O24" s="754">
        <v>30.08</v>
      </c>
      <c r="P24" s="767">
        <v>31</v>
      </c>
      <c r="Q24" s="754">
        <v>4.5999999999999996</v>
      </c>
      <c r="R24" s="767">
        <f t="shared" si="1"/>
        <v>320</v>
      </c>
      <c r="S24" s="754">
        <v>33.840000000000003</v>
      </c>
    </row>
    <row r="25" spans="1:19">
      <c r="A25" s="765">
        <v>18</v>
      </c>
      <c r="B25" s="766" t="s">
        <v>54</v>
      </c>
      <c r="C25" s="767">
        <v>0</v>
      </c>
      <c r="D25" s="754">
        <v>0</v>
      </c>
      <c r="E25" s="767">
        <v>3</v>
      </c>
      <c r="F25" s="754">
        <v>0.8</v>
      </c>
      <c r="G25" s="768">
        <v>1</v>
      </c>
      <c r="H25" s="767">
        <v>0</v>
      </c>
      <c r="I25" s="754">
        <v>0</v>
      </c>
      <c r="J25" s="767">
        <v>0</v>
      </c>
      <c r="K25" s="754">
        <v>0</v>
      </c>
      <c r="L25" s="767">
        <f t="shared" si="0"/>
        <v>0</v>
      </c>
      <c r="M25" s="754">
        <f t="shared" si="0"/>
        <v>0</v>
      </c>
      <c r="N25" s="767">
        <v>3</v>
      </c>
      <c r="O25" s="754">
        <v>1.58</v>
      </c>
      <c r="P25" s="767">
        <v>4</v>
      </c>
      <c r="Q25" s="754">
        <v>1.92</v>
      </c>
      <c r="R25" s="767">
        <f t="shared" si="1"/>
        <v>7</v>
      </c>
      <c r="S25" s="754">
        <f t="shared" si="1"/>
        <v>3.5</v>
      </c>
    </row>
    <row r="26" spans="1:19">
      <c r="A26" s="164">
        <v>19</v>
      </c>
      <c r="B26" s="165" t="s">
        <v>285</v>
      </c>
      <c r="C26" s="715">
        <v>0</v>
      </c>
      <c r="D26" s="163">
        <v>0</v>
      </c>
      <c r="E26" s="715">
        <v>0</v>
      </c>
      <c r="F26" s="163">
        <v>0</v>
      </c>
      <c r="G26" s="768">
        <v>1</v>
      </c>
      <c r="H26" s="715">
        <v>0</v>
      </c>
      <c r="I26" s="163">
        <v>0</v>
      </c>
      <c r="J26" s="715">
        <v>0</v>
      </c>
      <c r="K26" s="163">
        <v>0</v>
      </c>
      <c r="L26" s="715">
        <f t="shared" si="0"/>
        <v>0</v>
      </c>
      <c r="M26" s="163">
        <f t="shared" si="0"/>
        <v>0</v>
      </c>
      <c r="N26" s="715">
        <v>0</v>
      </c>
      <c r="O26" s="163">
        <v>0</v>
      </c>
      <c r="P26" s="715">
        <v>0</v>
      </c>
      <c r="Q26" s="163">
        <v>0</v>
      </c>
      <c r="R26" s="715">
        <f t="shared" si="1"/>
        <v>0</v>
      </c>
      <c r="S26" s="163">
        <f t="shared" si="1"/>
        <v>0</v>
      </c>
    </row>
    <row r="27" spans="1:19">
      <c r="A27" s="765">
        <v>20</v>
      </c>
      <c r="B27" s="766" t="s">
        <v>23</v>
      </c>
      <c r="C27" s="767">
        <v>12</v>
      </c>
      <c r="D27" s="754">
        <v>20.69</v>
      </c>
      <c r="E27" s="767">
        <v>31</v>
      </c>
      <c r="F27" s="754">
        <v>22.81</v>
      </c>
      <c r="G27" s="768">
        <v>4</v>
      </c>
      <c r="H27" s="767">
        <v>0</v>
      </c>
      <c r="I27" s="754">
        <v>0</v>
      </c>
      <c r="J27" s="767">
        <v>2</v>
      </c>
      <c r="K27" s="754">
        <v>6.11</v>
      </c>
      <c r="L27" s="767">
        <f t="shared" si="0"/>
        <v>2</v>
      </c>
      <c r="M27" s="754">
        <f t="shared" si="0"/>
        <v>6.11</v>
      </c>
      <c r="N27" s="767">
        <v>0</v>
      </c>
      <c r="O27" s="754">
        <v>0</v>
      </c>
      <c r="P27" s="767">
        <v>3</v>
      </c>
      <c r="Q27" s="754">
        <v>7.78</v>
      </c>
      <c r="R27" s="767">
        <f t="shared" si="1"/>
        <v>3</v>
      </c>
      <c r="S27" s="754">
        <f t="shared" si="1"/>
        <v>7.78</v>
      </c>
    </row>
    <row r="28" spans="1:19">
      <c r="A28" s="765">
        <v>21</v>
      </c>
      <c r="B28" s="766" t="s">
        <v>106</v>
      </c>
      <c r="C28" s="767">
        <v>0</v>
      </c>
      <c r="D28" s="754">
        <v>0</v>
      </c>
      <c r="E28" s="767">
        <v>0</v>
      </c>
      <c r="F28" s="754">
        <v>0</v>
      </c>
      <c r="G28" s="768">
        <v>1</v>
      </c>
      <c r="H28" s="767">
        <v>0</v>
      </c>
      <c r="I28" s="754">
        <v>0</v>
      </c>
      <c r="J28" s="767">
        <v>0</v>
      </c>
      <c r="K28" s="754">
        <v>0</v>
      </c>
      <c r="L28" s="767">
        <f t="shared" si="0"/>
        <v>0</v>
      </c>
      <c r="M28" s="754">
        <f t="shared" si="0"/>
        <v>0</v>
      </c>
      <c r="N28" s="767">
        <v>0</v>
      </c>
      <c r="O28" s="754">
        <v>0</v>
      </c>
      <c r="P28" s="767">
        <v>0</v>
      </c>
      <c r="Q28" s="754">
        <v>0</v>
      </c>
      <c r="R28" s="767">
        <f t="shared" si="1"/>
        <v>0</v>
      </c>
      <c r="S28" s="754">
        <f t="shared" si="1"/>
        <v>0</v>
      </c>
    </row>
    <row r="29" spans="1:19">
      <c r="A29" s="765">
        <v>22</v>
      </c>
      <c r="B29" s="766" t="s">
        <v>108</v>
      </c>
      <c r="C29" s="767">
        <v>0</v>
      </c>
      <c r="D29" s="754">
        <v>0</v>
      </c>
      <c r="E29" s="767">
        <v>0</v>
      </c>
      <c r="F29" s="754">
        <v>0</v>
      </c>
      <c r="G29" s="768">
        <v>1</v>
      </c>
      <c r="H29" s="767">
        <v>0</v>
      </c>
      <c r="I29" s="754">
        <v>0</v>
      </c>
      <c r="J29" s="767">
        <v>0</v>
      </c>
      <c r="K29" s="754">
        <v>0</v>
      </c>
      <c r="L29" s="767">
        <v>0</v>
      </c>
      <c r="M29" s="754">
        <v>0</v>
      </c>
      <c r="N29" s="767">
        <v>0</v>
      </c>
      <c r="O29" s="754">
        <v>0</v>
      </c>
      <c r="P29" s="767">
        <v>0</v>
      </c>
      <c r="Q29" s="754">
        <v>0</v>
      </c>
      <c r="R29" s="767">
        <v>0</v>
      </c>
      <c r="S29" s="754">
        <f t="shared" ref="S29" si="2">Q29+O29</f>
        <v>0</v>
      </c>
    </row>
    <row r="30" spans="1:19">
      <c r="A30" s="765">
        <v>23</v>
      </c>
      <c r="B30" s="766" t="s">
        <v>286</v>
      </c>
      <c r="C30" s="767">
        <v>0</v>
      </c>
      <c r="D30" s="754">
        <v>0</v>
      </c>
      <c r="E30" s="767">
        <v>0</v>
      </c>
      <c r="F30" s="754">
        <v>0</v>
      </c>
      <c r="G30" s="768">
        <v>1</v>
      </c>
      <c r="H30" s="767">
        <v>0</v>
      </c>
      <c r="I30" s="754">
        <v>0</v>
      </c>
      <c r="J30" s="767">
        <v>0</v>
      </c>
      <c r="K30" s="754">
        <v>0</v>
      </c>
      <c r="L30" s="767">
        <v>0</v>
      </c>
      <c r="M30" s="754">
        <v>0</v>
      </c>
      <c r="N30" s="767">
        <v>0</v>
      </c>
      <c r="O30" s="754">
        <v>0</v>
      </c>
      <c r="P30" s="767">
        <v>0</v>
      </c>
      <c r="Q30" s="754">
        <v>0</v>
      </c>
      <c r="R30" s="767">
        <v>0</v>
      </c>
      <c r="S30" s="754">
        <v>0</v>
      </c>
    </row>
    <row r="31" spans="1:19">
      <c r="A31" s="1581" t="s">
        <v>267</v>
      </c>
      <c r="B31" s="1581"/>
      <c r="C31" s="1285">
        <f t="shared" ref="C31:K31" si="3">SUM(C8:C30)</f>
        <v>66</v>
      </c>
      <c r="D31" s="843">
        <f t="shared" si="3"/>
        <v>56.03</v>
      </c>
      <c r="E31" s="1285">
        <f t="shared" si="3"/>
        <v>530</v>
      </c>
      <c r="F31" s="843">
        <f t="shared" si="3"/>
        <v>201.21000000000004</v>
      </c>
      <c r="G31" s="1286">
        <f t="shared" si="3"/>
        <v>81</v>
      </c>
      <c r="H31" s="1285">
        <f t="shared" si="3"/>
        <v>2</v>
      </c>
      <c r="I31" s="843">
        <f t="shared" si="3"/>
        <v>2.2000000000000002</v>
      </c>
      <c r="J31" s="1285">
        <f t="shared" si="3"/>
        <v>63</v>
      </c>
      <c r="K31" s="843">
        <f t="shared" si="3"/>
        <v>88.88000000000001</v>
      </c>
      <c r="L31" s="1285">
        <f>SUM(L8:L29)</f>
        <v>65</v>
      </c>
      <c r="M31" s="843">
        <f>SUM(M8:M29)</f>
        <v>91.08</v>
      </c>
      <c r="N31" s="1285">
        <f>SUM(N8:N30)</f>
        <v>309</v>
      </c>
      <c r="O31" s="843">
        <f>SUM(O8:O30)</f>
        <v>55.91</v>
      </c>
      <c r="P31" s="1285">
        <f>SUM(P8:P30)</f>
        <v>722</v>
      </c>
      <c r="Q31" s="843">
        <f>SUM(Q8:Q30)</f>
        <v>220.20999999999998</v>
      </c>
      <c r="R31" s="1285">
        <f>SUM(R8:R29)</f>
        <v>1031</v>
      </c>
      <c r="S31" s="843">
        <f>SUM(S8:S30)</f>
        <v>275.27999999999997</v>
      </c>
    </row>
    <row r="32" spans="1:19">
      <c r="A32" s="165"/>
      <c r="B32" s="164" t="s">
        <v>16</v>
      </c>
      <c r="C32" s="715">
        <v>304</v>
      </c>
      <c r="D32" s="163">
        <v>6.72</v>
      </c>
      <c r="E32" s="715">
        <v>1915</v>
      </c>
      <c r="F32" s="163">
        <v>199.19</v>
      </c>
      <c r="G32" s="768">
        <v>8</v>
      </c>
      <c r="H32" s="715">
        <v>0</v>
      </c>
      <c r="I32" s="163">
        <v>0</v>
      </c>
      <c r="J32" s="715">
        <v>8</v>
      </c>
      <c r="K32" s="163">
        <v>22</v>
      </c>
      <c r="L32" s="715">
        <f>J32+H32</f>
        <v>8</v>
      </c>
      <c r="M32" s="163">
        <f>K32+I32</f>
        <v>22</v>
      </c>
      <c r="N32" s="715">
        <v>19</v>
      </c>
      <c r="O32" s="163">
        <v>9.0399999999999991</v>
      </c>
      <c r="P32" s="715">
        <v>74</v>
      </c>
      <c r="Q32" s="163">
        <v>104.01</v>
      </c>
      <c r="R32" s="715">
        <f>P32+N32</f>
        <v>93</v>
      </c>
      <c r="S32" s="163">
        <f>Q32+O32</f>
        <v>113.05000000000001</v>
      </c>
    </row>
    <row r="33" spans="1:19">
      <c r="A33" s="766"/>
      <c r="B33" s="765" t="s">
        <v>12</v>
      </c>
      <c r="C33" s="767">
        <v>27</v>
      </c>
      <c r="D33" s="754">
        <v>5.3</v>
      </c>
      <c r="E33" s="767">
        <v>478</v>
      </c>
      <c r="F33" s="754">
        <v>33.25</v>
      </c>
      <c r="G33" s="768">
        <v>11</v>
      </c>
      <c r="H33" s="767">
        <v>0</v>
      </c>
      <c r="I33" s="754">
        <v>0</v>
      </c>
      <c r="J33" s="767">
        <v>45</v>
      </c>
      <c r="K33" s="754">
        <v>85.25</v>
      </c>
      <c r="L33" s="767">
        <f>J33+H33</f>
        <v>45</v>
      </c>
      <c r="M33" s="754">
        <f>K33+I33</f>
        <v>85.25</v>
      </c>
      <c r="N33" s="767">
        <v>7</v>
      </c>
      <c r="O33" s="754">
        <v>14.62</v>
      </c>
      <c r="P33" s="767">
        <v>38</v>
      </c>
      <c r="Q33" s="754">
        <v>70.63</v>
      </c>
      <c r="R33" s="767">
        <f>P33+N33</f>
        <v>45</v>
      </c>
      <c r="S33" s="754">
        <f>Q33+O33</f>
        <v>85.25</v>
      </c>
    </row>
    <row r="34" spans="1:19">
      <c r="A34" s="1581" t="s">
        <v>287</v>
      </c>
      <c r="B34" s="1581"/>
      <c r="C34" s="842">
        <f t="shared" ref="C34:S34" si="4">SUM(C31:C33)</f>
        <v>397</v>
      </c>
      <c r="D34" s="843">
        <f t="shared" si="4"/>
        <v>68.05</v>
      </c>
      <c r="E34" s="842">
        <f>SUM(E31:E33)</f>
        <v>2923</v>
      </c>
      <c r="F34" s="843">
        <f>SUM(F31:F33)</f>
        <v>433.65000000000003</v>
      </c>
      <c r="G34" s="1286">
        <f>SUM(G31:G33)</f>
        <v>100</v>
      </c>
      <c r="H34" s="842">
        <f>SUM(H31:H33)</f>
        <v>2</v>
      </c>
      <c r="I34" s="843">
        <f>SUM(I31:I33)</f>
        <v>2.2000000000000002</v>
      </c>
      <c r="J34" s="842">
        <f t="shared" si="4"/>
        <v>116</v>
      </c>
      <c r="K34" s="843">
        <f t="shared" si="4"/>
        <v>196.13</v>
      </c>
      <c r="L34" s="842">
        <f t="shared" si="4"/>
        <v>118</v>
      </c>
      <c r="M34" s="843">
        <f t="shared" si="4"/>
        <v>198.32999999999998</v>
      </c>
      <c r="N34" s="842">
        <f>SUM(N31:N33)</f>
        <v>335</v>
      </c>
      <c r="O34" s="843">
        <f>SUM(O31:O33)</f>
        <v>79.569999999999993</v>
      </c>
      <c r="P34" s="842">
        <f>SUM(P31:P33)</f>
        <v>834</v>
      </c>
      <c r="Q34" s="843">
        <f>SUM(Q31:Q33)</f>
        <v>394.84999999999997</v>
      </c>
      <c r="R34" s="842">
        <f t="shared" si="4"/>
        <v>1169</v>
      </c>
      <c r="S34" s="843">
        <f t="shared" si="4"/>
        <v>473.58</v>
      </c>
    </row>
  </sheetData>
  <mergeCells count="21">
    <mergeCell ref="A1:S1"/>
    <mergeCell ref="A2:L2"/>
    <mergeCell ref="M2:S2"/>
    <mergeCell ref="G3:J3"/>
    <mergeCell ref="A4:A7"/>
    <mergeCell ref="B4:B7"/>
    <mergeCell ref="C4:F4"/>
    <mergeCell ref="G4:S4"/>
    <mergeCell ref="C5:D6"/>
    <mergeCell ref="E5:F6"/>
    <mergeCell ref="A31:B31"/>
    <mergeCell ref="A34:B34"/>
    <mergeCell ref="G5:G7"/>
    <mergeCell ref="H5:M5"/>
    <mergeCell ref="N5:S5"/>
    <mergeCell ref="H6:I6"/>
    <mergeCell ref="J6:K6"/>
    <mergeCell ref="L6:M6"/>
    <mergeCell ref="N6:O6"/>
    <mergeCell ref="P6:Q6"/>
    <mergeCell ref="R6:S6"/>
  </mergeCells>
  <printOptions horizontalCentered="1" verticalCentered="1"/>
  <pageMargins left="0.16" right="0.16" top="0.32" bottom="0.28000000000000003" header="0.3" footer="0.3"/>
  <pageSetup paperSize="9" scale="8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P7" sqref="P7"/>
    </sheetView>
  </sheetViews>
  <sheetFormatPr defaultRowHeight="15"/>
  <sheetData>
    <row r="1" spans="1:13" ht="15.75">
      <c r="A1" s="1482">
        <v>37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</row>
    <row r="2" spans="1:13" ht="15.75">
      <c r="A2" s="274"/>
      <c r="B2" s="1589" t="s">
        <v>351</v>
      </c>
      <c r="C2" s="1589"/>
      <c r="D2" s="1589"/>
      <c r="E2" s="1589"/>
      <c r="F2" s="1589"/>
      <c r="G2" s="741"/>
      <c r="H2" s="275"/>
      <c r="I2" s="1531" t="s">
        <v>352</v>
      </c>
      <c r="J2" s="1531"/>
      <c r="K2" s="1531"/>
      <c r="L2" s="1531"/>
      <c r="M2" s="1531"/>
    </row>
    <row r="3" spans="1:13" ht="15.75">
      <c r="A3" s="741"/>
      <c r="B3" s="276"/>
      <c r="C3" s="276"/>
      <c r="D3" s="276"/>
      <c r="E3" s="1531" t="str">
        <f>'[1]TOTAL PRIORITY'!A3</f>
        <v>As on 31.03.2018   (Rs In Lakhs)</v>
      </c>
      <c r="F3" s="1531"/>
      <c r="G3" s="1531"/>
      <c r="H3" s="1531"/>
      <c r="I3" s="1531"/>
      <c r="J3" s="276"/>
      <c r="K3" s="276"/>
      <c r="L3" s="276"/>
      <c r="M3" s="741"/>
    </row>
    <row r="4" spans="1:13" ht="63.75">
      <c r="A4" s="1032" t="s">
        <v>130</v>
      </c>
      <c r="B4" s="1032" t="s">
        <v>131</v>
      </c>
      <c r="C4" s="1032" t="s">
        <v>243</v>
      </c>
      <c r="D4" s="1032" t="s">
        <v>353</v>
      </c>
      <c r="E4" s="1032" t="s">
        <v>354</v>
      </c>
      <c r="F4" s="1032" t="s">
        <v>355</v>
      </c>
      <c r="G4" s="1032" t="s">
        <v>356</v>
      </c>
      <c r="H4" s="741"/>
      <c r="I4" s="1032" t="s">
        <v>357</v>
      </c>
      <c r="J4" s="1032" t="s">
        <v>358</v>
      </c>
      <c r="K4" s="1032" t="s">
        <v>359</v>
      </c>
      <c r="L4" s="1032" t="s">
        <v>360</v>
      </c>
      <c r="M4" s="1032" t="s">
        <v>361</v>
      </c>
    </row>
    <row r="5" spans="1:13">
      <c r="A5" s="768">
        <v>1</v>
      </c>
      <c r="B5" s="767" t="s">
        <v>78</v>
      </c>
      <c r="C5" s="767"/>
      <c r="D5" s="767">
        <v>6</v>
      </c>
      <c r="E5" s="767">
        <v>272</v>
      </c>
      <c r="F5" s="767">
        <v>0</v>
      </c>
      <c r="G5" s="754">
        <v>0</v>
      </c>
      <c r="H5" s="345"/>
      <c r="I5" s="1287"/>
      <c r="J5" s="767">
        <v>0</v>
      </c>
      <c r="K5" s="754">
        <v>0</v>
      </c>
      <c r="L5" s="767">
        <v>0</v>
      </c>
      <c r="M5" s="754">
        <v>0</v>
      </c>
    </row>
    <row r="6" spans="1:13">
      <c r="A6" s="768">
        <v>2</v>
      </c>
      <c r="B6" s="767" t="s">
        <v>27</v>
      </c>
      <c r="C6" s="767"/>
      <c r="D6" s="767">
        <v>3</v>
      </c>
      <c r="E6" s="767">
        <v>2001</v>
      </c>
      <c r="F6" s="767">
        <v>0</v>
      </c>
      <c r="G6" s="754">
        <v>0</v>
      </c>
      <c r="H6" s="242"/>
      <c r="I6" s="767"/>
      <c r="J6" s="767">
        <v>0</v>
      </c>
      <c r="K6" s="754">
        <v>0</v>
      </c>
      <c r="L6" s="767">
        <v>0</v>
      </c>
      <c r="M6" s="754">
        <v>0</v>
      </c>
    </row>
    <row r="7" spans="1:13">
      <c r="A7" s="768">
        <v>3</v>
      </c>
      <c r="B7" s="767" t="s">
        <v>46</v>
      </c>
      <c r="C7" s="767"/>
      <c r="D7" s="767">
        <v>0</v>
      </c>
      <c r="E7" s="767">
        <v>0</v>
      </c>
      <c r="F7" s="767">
        <v>0</v>
      </c>
      <c r="G7" s="754">
        <v>0</v>
      </c>
      <c r="H7" s="345"/>
      <c r="I7" s="1287"/>
      <c r="J7" s="767">
        <v>0</v>
      </c>
      <c r="K7" s="754">
        <v>0</v>
      </c>
      <c r="L7" s="767">
        <v>0</v>
      </c>
      <c r="M7" s="754">
        <v>0</v>
      </c>
    </row>
    <row r="8" spans="1:13">
      <c r="A8" s="768">
        <v>4</v>
      </c>
      <c r="B8" s="767" t="s">
        <v>32</v>
      </c>
      <c r="C8" s="767"/>
      <c r="D8" s="767">
        <v>121</v>
      </c>
      <c r="E8" s="767">
        <v>3775</v>
      </c>
      <c r="F8" s="767">
        <v>0</v>
      </c>
      <c r="G8" s="754">
        <v>0</v>
      </c>
      <c r="H8" s="242"/>
      <c r="I8" s="767"/>
      <c r="J8" s="767">
        <v>0</v>
      </c>
      <c r="K8" s="754">
        <v>0</v>
      </c>
      <c r="L8" s="767">
        <v>0</v>
      </c>
      <c r="M8" s="754">
        <v>0</v>
      </c>
    </row>
    <row r="9" spans="1:13">
      <c r="A9" s="768">
        <v>5</v>
      </c>
      <c r="B9" s="767" t="s">
        <v>83</v>
      </c>
      <c r="C9" s="767"/>
      <c r="D9" s="767">
        <v>35</v>
      </c>
      <c r="E9" s="767">
        <v>412</v>
      </c>
      <c r="F9" s="767">
        <v>0</v>
      </c>
      <c r="G9" s="754">
        <v>0</v>
      </c>
      <c r="H9" s="242"/>
      <c r="I9" s="767"/>
      <c r="J9" s="767">
        <v>0</v>
      </c>
      <c r="K9" s="754">
        <v>0</v>
      </c>
      <c r="L9" s="767">
        <v>0</v>
      </c>
      <c r="M9" s="754">
        <v>0</v>
      </c>
    </row>
    <row r="10" spans="1:13">
      <c r="A10" s="768">
        <v>6</v>
      </c>
      <c r="B10" s="767" t="s">
        <v>85</v>
      </c>
      <c r="C10" s="767"/>
      <c r="D10" s="767">
        <v>385</v>
      </c>
      <c r="E10" s="767">
        <v>4463</v>
      </c>
      <c r="F10" s="767">
        <v>0</v>
      </c>
      <c r="G10" s="754">
        <v>0</v>
      </c>
      <c r="H10" s="242"/>
      <c r="I10" s="767"/>
      <c r="J10" s="767">
        <v>19</v>
      </c>
      <c r="K10" s="754">
        <v>4</v>
      </c>
      <c r="L10" s="767">
        <v>94</v>
      </c>
      <c r="M10" s="754">
        <v>24</v>
      </c>
    </row>
    <row r="11" spans="1:13">
      <c r="A11" s="768">
        <v>7</v>
      </c>
      <c r="B11" s="767" t="s">
        <v>17</v>
      </c>
      <c r="C11" s="767"/>
      <c r="D11" s="767">
        <v>20</v>
      </c>
      <c r="E11" s="767">
        <v>5485</v>
      </c>
      <c r="F11" s="767">
        <v>0</v>
      </c>
      <c r="G11" s="754">
        <v>0</v>
      </c>
      <c r="H11" s="242"/>
      <c r="I11" s="767"/>
      <c r="J11" s="767">
        <v>0</v>
      </c>
      <c r="K11" s="754">
        <v>0</v>
      </c>
      <c r="L11" s="767">
        <v>0</v>
      </c>
      <c r="M11" s="754">
        <v>0</v>
      </c>
    </row>
    <row r="12" spans="1:13">
      <c r="A12" s="1288">
        <v>8</v>
      </c>
      <c r="B12" s="1287" t="s">
        <v>26</v>
      </c>
      <c r="C12" s="1287"/>
      <c r="D12" s="767">
        <v>0</v>
      </c>
      <c r="E12" s="767">
        <v>984</v>
      </c>
      <c r="F12" s="767">
        <v>0</v>
      </c>
      <c r="G12" s="754">
        <v>0</v>
      </c>
      <c r="H12" s="242"/>
      <c r="I12" s="767"/>
      <c r="J12" s="767">
        <v>0</v>
      </c>
      <c r="K12" s="754">
        <v>50.52</v>
      </c>
      <c r="L12" s="767">
        <v>93</v>
      </c>
      <c r="M12" s="754">
        <v>408.83</v>
      </c>
    </row>
    <row r="13" spans="1:13">
      <c r="A13" s="768">
        <v>9</v>
      </c>
      <c r="B13" s="767" t="s">
        <v>11</v>
      </c>
      <c r="C13" s="767"/>
      <c r="D13" s="767">
        <v>32</v>
      </c>
      <c r="E13" s="767">
        <v>162</v>
      </c>
      <c r="F13" s="767">
        <v>0</v>
      </c>
      <c r="G13" s="754">
        <v>0</v>
      </c>
      <c r="H13" s="242"/>
      <c r="I13" s="767"/>
      <c r="J13" s="767">
        <v>0</v>
      </c>
      <c r="K13" s="754">
        <v>0</v>
      </c>
      <c r="L13" s="767">
        <v>0</v>
      </c>
      <c r="M13" s="754">
        <v>0</v>
      </c>
    </row>
    <row r="14" spans="1:13">
      <c r="A14" s="768">
        <v>10</v>
      </c>
      <c r="B14" s="767" t="s">
        <v>90</v>
      </c>
      <c r="C14" s="767"/>
      <c r="D14" s="767">
        <v>22</v>
      </c>
      <c r="E14" s="767">
        <v>1203</v>
      </c>
      <c r="F14" s="767">
        <v>0</v>
      </c>
      <c r="G14" s="754">
        <v>0</v>
      </c>
      <c r="H14" s="345"/>
      <c r="I14" s="1287"/>
      <c r="J14" s="767">
        <v>0</v>
      </c>
      <c r="K14" s="754">
        <v>0</v>
      </c>
      <c r="L14" s="767">
        <v>0</v>
      </c>
      <c r="M14" s="754">
        <v>0</v>
      </c>
    </row>
    <row r="15" spans="1:13">
      <c r="A15" s="768">
        <v>11</v>
      </c>
      <c r="B15" s="767" t="s">
        <v>92</v>
      </c>
      <c r="C15" s="767"/>
      <c r="D15" s="767">
        <v>63</v>
      </c>
      <c r="E15" s="767">
        <v>1251</v>
      </c>
      <c r="F15" s="767">
        <v>1251</v>
      </c>
      <c r="G15" s="754">
        <v>6.02</v>
      </c>
      <c r="H15" s="242"/>
      <c r="I15" s="767"/>
      <c r="J15" s="767">
        <v>0</v>
      </c>
      <c r="K15" s="754">
        <v>0</v>
      </c>
      <c r="L15" s="767">
        <v>0</v>
      </c>
      <c r="M15" s="754">
        <v>0</v>
      </c>
    </row>
    <row r="16" spans="1:13">
      <c r="A16" s="768">
        <v>12</v>
      </c>
      <c r="B16" s="767" t="s">
        <v>51</v>
      </c>
      <c r="C16" s="767"/>
      <c r="D16" s="767">
        <v>2</v>
      </c>
      <c r="E16" s="767">
        <v>212</v>
      </c>
      <c r="F16" s="767">
        <v>0</v>
      </c>
      <c r="G16" s="754">
        <v>0</v>
      </c>
      <c r="H16" s="242"/>
      <c r="I16" s="767"/>
      <c r="J16" s="767">
        <v>0</v>
      </c>
      <c r="K16" s="754">
        <v>0</v>
      </c>
      <c r="L16" s="767">
        <v>0</v>
      </c>
      <c r="M16" s="754">
        <v>0</v>
      </c>
    </row>
    <row r="17" spans="1:13">
      <c r="A17" s="768">
        <v>13</v>
      </c>
      <c r="B17" s="767" t="s">
        <v>52</v>
      </c>
      <c r="C17" s="767"/>
      <c r="D17" s="767">
        <v>12</v>
      </c>
      <c r="E17" s="767">
        <v>348</v>
      </c>
      <c r="F17" s="767">
        <v>0</v>
      </c>
      <c r="G17" s="754">
        <v>0</v>
      </c>
      <c r="H17" s="345"/>
      <c r="I17" s="1287"/>
      <c r="J17" s="767">
        <v>0</v>
      </c>
      <c r="K17" s="754">
        <v>0</v>
      </c>
      <c r="L17" s="767">
        <v>0</v>
      </c>
      <c r="M17" s="754">
        <v>0</v>
      </c>
    </row>
    <row r="18" spans="1:13">
      <c r="A18" s="768">
        <v>14</v>
      </c>
      <c r="B18" s="767" t="s">
        <v>28</v>
      </c>
      <c r="C18" s="767"/>
      <c r="D18" s="767">
        <v>50</v>
      </c>
      <c r="E18" s="767">
        <v>2382</v>
      </c>
      <c r="F18" s="767">
        <v>0</v>
      </c>
      <c r="G18" s="754">
        <v>0</v>
      </c>
      <c r="H18" s="242"/>
      <c r="I18" s="767"/>
      <c r="J18" s="767">
        <v>0</v>
      </c>
      <c r="K18" s="754">
        <v>12</v>
      </c>
      <c r="L18" s="767">
        <v>40</v>
      </c>
      <c r="M18" s="754">
        <v>12</v>
      </c>
    </row>
    <row r="19" spans="1:13">
      <c r="A19" s="1288">
        <v>15</v>
      </c>
      <c r="B19" s="1287" t="s">
        <v>10</v>
      </c>
      <c r="C19" s="1287"/>
      <c r="D19" s="767">
        <f>196311-186023</f>
        <v>10288</v>
      </c>
      <c r="E19" s="767">
        <v>196311</v>
      </c>
      <c r="F19" s="767">
        <v>196311</v>
      </c>
      <c r="G19" s="754">
        <v>6057.27</v>
      </c>
      <c r="H19" s="242"/>
      <c r="I19" s="767"/>
      <c r="J19" s="767">
        <v>0</v>
      </c>
      <c r="K19" s="754">
        <v>3.5</v>
      </c>
      <c r="L19" s="767">
        <v>2</v>
      </c>
      <c r="M19" s="754">
        <v>3.5</v>
      </c>
    </row>
    <row r="20" spans="1:13">
      <c r="A20" s="768">
        <v>16</v>
      </c>
      <c r="B20" s="767" t="s">
        <v>98</v>
      </c>
      <c r="C20" s="767"/>
      <c r="D20" s="767">
        <v>0</v>
      </c>
      <c r="E20" s="767">
        <v>2782</v>
      </c>
      <c r="F20" s="767">
        <v>0</v>
      </c>
      <c r="G20" s="754">
        <v>0</v>
      </c>
      <c r="H20" s="242"/>
      <c r="I20" s="767"/>
      <c r="J20" s="767">
        <v>0</v>
      </c>
      <c r="K20" s="754">
        <v>0</v>
      </c>
      <c r="L20" s="767">
        <v>0</v>
      </c>
      <c r="M20" s="754">
        <v>0</v>
      </c>
    </row>
    <row r="21" spans="1:13">
      <c r="A21" s="768">
        <v>17</v>
      </c>
      <c r="B21" s="767" t="s">
        <v>35</v>
      </c>
      <c r="C21" s="767"/>
      <c r="D21" s="767">
        <v>157</v>
      </c>
      <c r="E21" s="767">
        <v>4327</v>
      </c>
      <c r="F21" s="767">
        <v>0</v>
      </c>
      <c r="G21" s="754">
        <v>0</v>
      </c>
      <c r="H21" s="242"/>
      <c r="I21" s="767"/>
      <c r="J21" s="767">
        <v>0</v>
      </c>
      <c r="K21" s="754">
        <v>0</v>
      </c>
      <c r="L21" s="767">
        <v>0</v>
      </c>
      <c r="M21" s="754">
        <v>0</v>
      </c>
    </row>
    <row r="22" spans="1:13">
      <c r="A22" s="768">
        <v>18</v>
      </c>
      <c r="B22" s="767" t="s">
        <v>54</v>
      </c>
      <c r="C22" s="767"/>
      <c r="D22" s="767">
        <v>221</v>
      </c>
      <c r="E22" s="767">
        <v>1161</v>
      </c>
      <c r="F22" s="767">
        <v>0</v>
      </c>
      <c r="G22" s="754">
        <v>0</v>
      </c>
      <c r="H22" s="242"/>
      <c r="I22" s="767"/>
      <c r="J22" s="767">
        <v>0</v>
      </c>
      <c r="K22" s="754">
        <v>0</v>
      </c>
      <c r="L22" s="767">
        <v>12</v>
      </c>
      <c r="M22" s="754">
        <v>4.4000000000000004</v>
      </c>
    </row>
    <row r="23" spans="1:13">
      <c r="A23" s="768">
        <v>19</v>
      </c>
      <c r="B23" s="767" t="s">
        <v>102</v>
      </c>
      <c r="C23" s="767"/>
      <c r="D23" s="767">
        <v>0</v>
      </c>
      <c r="E23" s="767">
        <v>235</v>
      </c>
      <c r="F23" s="767">
        <v>0</v>
      </c>
      <c r="G23" s="754">
        <v>0</v>
      </c>
      <c r="H23" s="242"/>
      <c r="I23" s="767"/>
      <c r="J23" s="767">
        <v>0</v>
      </c>
      <c r="K23" s="754">
        <v>0</v>
      </c>
      <c r="L23" s="767">
        <v>0</v>
      </c>
      <c r="M23" s="754">
        <v>0</v>
      </c>
    </row>
    <row r="24" spans="1:13">
      <c r="A24" s="768">
        <v>20</v>
      </c>
      <c r="B24" s="767" t="s">
        <v>104</v>
      </c>
      <c r="C24" s="767"/>
      <c r="D24" s="767">
        <v>5</v>
      </c>
      <c r="E24" s="767">
        <v>3694</v>
      </c>
      <c r="F24" s="767">
        <v>0</v>
      </c>
      <c r="G24" s="754">
        <v>0</v>
      </c>
      <c r="H24" s="242"/>
      <c r="I24" s="767"/>
      <c r="J24" s="767">
        <v>0</v>
      </c>
      <c r="K24" s="754">
        <v>0</v>
      </c>
      <c r="L24" s="767">
        <v>1</v>
      </c>
      <c r="M24" s="754">
        <v>0.05</v>
      </c>
    </row>
    <row r="25" spans="1:13">
      <c r="A25" s="768">
        <v>21</v>
      </c>
      <c r="B25" s="767" t="s">
        <v>106</v>
      </c>
      <c r="C25" s="767"/>
      <c r="D25" s="767">
        <v>0</v>
      </c>
      <c r="E25" s="767">
        <v>0</v>
      </c>
      <c r="F25" s="767">
        <v>0</v>
      </c>
      <c r="G25" s="754">
        <v>0</v>
      </c>
      <c r="H25" s="242"/>
      <c r="I25" s="767"/>
      <c r="J25" s="767">
        <v>0</v>
      </c>
      <c r="K25" s="754">
        <v>0</v>
      </c>
      <c r="L25" s="767">
        <v>0</v>
      </c>
      <c r="M25" s="754">
        <v>0</v>
      </c>
    </row>
    <row r="26" spans="1:13">
      <c r="A26" s="768">
        <v>22</v>
      </c>
      <c r="B26" s="767" t="s">
        <v>108</v>
      </c>
      <c r="C26" s="767"/>
      <c r="D26" s="767">
        <v>0</v>
      </c>
      <c r="E26" s="767">
        <v>0</v>
      </c>
      <c r="F26" s="767">
        <v>0</v>
      </c>
      <c r="G26" s="754">
        <v>0</v>
      </c>
      <c r="H26" s="345"/>
      <c r="I26" s="1287"/>
      <c r="J26" s="767">
        <v>0</v>
      </c>
      <c r="K26" s="754">
        <v>0</v>
      </c>
      <c r="L26" s="767">
        <v>0</v>
      </c>
      <c r="M26" s="754">
        <v>0</v>
      </c>
    </row>
    <row r="27" spans="1:13">
      <c r="A27" s="842" t="s">
        <v>113</v>
      </c>
      <c r="B27" s="842" t="s">
        <v>13</v>
      </c>
      <c r="C27" s="842"/>
      <c r="D27" s="842">
        <f>SUM(D5:D26)</f>
        <v>11422</v>
      </c>
      <c r="E27" s="842">
        <f>SUM(E5:E26)</f>
        <v>231460</v>
      </c>
      <c r="F27" s="842">
        <f>SUM(F5:F26)</f>
        <v>197562</v>
      </c>
      <c r="G27" s="843">
        <f>SUM(G5:G26)</f>
        <v>6063.2900000000009</v>
      </c>
      <c r="H27" s="345"/>
      <c r="I27" s="842"/>
      <c r="J27" s="842">
        <f>SUM(J5:J26)</f>
        <v>19</v>
      </c>
      <c r="K27" s="843">
        <f>SUM(K5:K26)</f>
        <v>70.02000000000001</v>
      </c>
      <c r="L27" s="842">
        <f>SUM(L5:L26)</f>
        <v>242</v>
      </c>
      <c r="M27" s="843">
        <f>SUM(M5:M26)</f>
        <v>452.78</v>
      </c>
    </row>
    <row r="28" spans="1:13">
      <c r="A28" s="767">
        <v>1</v>
      </c>
      <c r="B28" s="767" t="s">
        <v>16</v>
      </c>
      <c r="C28" s="767"/>
      <c r="D28" s="767">
        <v>14417</v>
      </c>
      <c r="E28" s="767">
        <v>30769</v>
      </c>
      <c r="F28" s="767">
        <v>0</v>
      </c>
      <c r="G28" s="754">
        <v>0</v>
      </c>
      <c r="H28" s="242"/>
      <c r="I28" s="767"/>
      <c r="J28" s="767">
        <v>31</v>
      </c>
      <c r="K28" s="754">
        <v>137.05000000000001</v>
      </c>
      <c r="L28" s="767">
        <v>336</v>
      </c>
      <c r="M28" s="754">
        <v>1101</v>
      </c>
    </row>
    <row r="29" spans="1:13">
      <c r="A29" s="767">
        <v>1</v>
      </c>
      <c r="B29" s="767" t="s">
        <v>110</v>
      </c>
      <c r="C29" s="767"/>
      <c r="D29" s="767">
        <v>0</v>
      </c>
      <c r="E29" s="767">
        <v>10655</v>
      </c>
      <c r="F29" s="767">
        <v>0</v>
      </c>
      <c r="G29" s="754">
        <v>0</v>
      </c>
      <c r="H29" s="242"/>
      <c r="I29" s="767"/>
      <c r="J29" s="767">
        <v>0</v>
      </c>
      <c r="K29" s="754">
        <v>0</v>
      </c>
      <c r="L29" s="767">
        <v>96</v>
      </c>
      <c r="M29" s="754">
        <v>45.6</v>
      </c>
    </row>
    <row r="30" spans="1:13">
      <c r="A30" s="842" t="s">
        <v>135</v>
      </c>
      <c r="B30" s="842" t="s">
        <v>13</v>
      </c>
      <c r="C30" s="842"/>
      <c r="D30" s="842">
        <f>SUM(D27:D29)</f>
        <v>25839</v>
      </c>
      <c r="E30" s="842">
        <f>SUM(E27:E29)</f>
        <v>272884</v>
      </c>
      <c r="F30" s="842">
        <f>SUM(F27:F29)</f>
        <v>197562</v>
      </c>
      <c r="G30" s="843">
        <f>SUM(G27:G29)</f>
        <v>6063.2900000000009</v>
      </c>
      <c r="H30" s="345"/>
      <c r="I30" s="842"/>
      <c r="J30" s="842">
        <f>SUM(J27:J29)</f>
        <v>50</v>
      </c>
      <c r="K30" s="843">
        <f>SUM(K27:K29)</f>
        <v>207.07000000000002</v>
      </c>
      <c r="L30" s="842">
        <f>SUM(L27:L29)</f>
        <v>674</v>
      </c>
      <c r="M30" s="843">
        <f>SUM(M27:M29)</f>
        <v>1599.3799999999999</v>
      </c>
    </row>
    <row r="31" spans="1:13">
      <c r="A31" s="766"/>
      <c r="B31" s="766"/>
      <c r="C31" s="766" t="s">
        <v>136</v>
      </c>
      <c r="D31" s="1289"/>
      <c r="E31" s="1289"/>
      <c r="F31" s="1289"/>
      <c r="G31" s="1290"/>
      <c r="H31" s="171"/>
      <c r="I31" s="167" t="s">
        <v>136</v>
      </c>
      <c r="J31" s="167"/>
      <c r="K31" s="1253"/>
      <c r="L31" s="167"/>
      <c r="M31" s="1253"/>
    </row>
    <row r="32" spans="1:13">
      <c r="A32" s="767"/>
      <c r="B32" s="767" t="s">
        <v>13</v>
      </c>
      <c r="C32" s="842"/>
      <c r="D32" s="767">
        <v>36597</v>
      </c>
      <c r="E32" s="767">
        <v>266115</v>
      </c>
      <c r="F32" s="767">
        <v>266115</v>
      </c>
      <c r="G32" s="754"/>
      <c r="H32" s="345"/>
      <c r="I32" s="1287"/>
      <c r="J32" s="842">
        <v>50</v>
      </c>
      <c r="K32" s="843">
        <v>207.07</v>
      </c>
      <c r="L32" s="842">
        <v>674</v>
      </c>
      <c r="M32" s="843">
        <v>1599.38</v>
      </c>
    </row>
  </sheetData>
  <mergeCells count="4">
    <mergeCell ref="A1:M1"/>
    <mergeCell ref="B2:F2"/>
    <mergeCell ref="I2:M2"/>
    <mergeCell ref="E3:I3"/>
  </mergeCells>
  <printOptions gridLines="1"/>
  <pageMargins left="0.7" right="0.7" top="0.75" bottom="0.75" header="0.3" footer="0.3"/>
  <pageSetup paperSize="9" scale="9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32"/>
  <sheetViews>
    <sheetView zoomScale="90" zoomScaleNormal="90" workbookViewId="0">
      <selection sqref="A1:U1"/>
    </sheetView>
  </sheetViews>
  <sheetFormatPr defaultRowHeight="15"/>
  <cols>
    <col min="15" max="15" width="13.28515625" customWidth="1"/>
  </cols>
  <sheetData>
    <row r="1" spans="1:21" s="741" customFormat="1" ht="15.75">
      <c r="A1" s="1592">
        <v>38</v>
      </c>
      <c r="B1" s="1592"/>
      <c r="C1" s="1592"/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1592"/>
      <c r="O1" s="1592"/>
      <c r="P1" s="1592"/>
      <c r="Q1" s="1592"/>
      <c r="R1" s="1592"/>
      <c r="S1" s="1592"/>
      <c r="T1" s="1592"/>
      <c r="U1" s="1592"/>
    </row>
    <row r="2" spans="1:21" ht="18">
      <c r="A2" s="1593" t="s">
        <v>614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  <c r="Q2" s="1593"/>
      <c r="R2" s="1593"/>
      <c r="S2" s="1593"/>
      <c r="T2" s="1593"/>
      <c r="U2" s="1593"/>
    </row>
    <row r="3" spans="1:21" ht="15.75">
      <c r="A3" s="1594" t="s">
        <v>615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</row>
    <row r="4" spans="1:21" ht="48">
      <c r="A4" s="227" t="s">
        <v>130</v>
      </c>
      <c r="B4" s="227" t="s">
        <v>131</v>
      </c>
      <c r="C4" s="227" t="s">
        <v>243</v>
      </c>
      <c r="D4" s="227" t="s">
        <v>244</v>
      </c>
      <c r="E4" s="227" t="s">
        <v>13</v>
      </c>
      <c r="F4" s="228" t="s">
        <v>245</v>
      </c>
      <c r="G4" s="228" t="s">
        <v>246</v>
      </c>
      <c r="H4" s="228" t="s">
        <v>247</v>
      </c>
      <c r="I4" s="228" t="s">
        <v>248</v>
      </c>
      <c r="J4" s="228" t="s">
        <v>249</v>
      </c>
      <c r="K4" s="228" t="s">
        <v>250</v>
      </c>
      <c r="L4" s="228" t="s">
        <v>251</v>
      </c>
      <c r="M4" s="228" t="s">
        <v>252</v>
      </c>
      <c r="N4" s="229"/>
      <c r="O4" s="1038" t="s">
        <v>253</v>
      </c>
      <c r="P4" s="1038" t="s">
        <v>243</v>
      </c>
      <c r="Q4" s="1038" t="s">
        <v>254</v>
      </c>
      <c r="R4" s="1595" t="s">
        <v>255</v>
      </c>
      <c r="S4" s="1595"/>
      <c r="T4" s="1595" t="s">
        <v>256</v>
      </c>
      <c r="U4" s="1595"/>
    </row>
    <row r="5" spans="1:21">
      <c r="A5" s="1291">
        <v>1</v>
      </c>
      <c r="B5" s="1292" t="s">
        <v>78</v>
      </c>
      <c r="C5" s="459">
        <v>2</v>
      </c>
      <c r="D5" s="459">
        <v>0</v>
      </c>
      <c r="E5" s="459">
        <f>C5+D5</f>
        <v>2</v>
      </c>
      <c r="F5" s="731">
        <v>2</v>
      </c>
      <c r="G5" s="731">
        <v>2</v>
      </c>
      <c r="H5" s="732">
        <v>6</v>
      </c>
      <c r="I5" s="731">
        <v>2</v>
      </c>
      <c r="J5" s="732">
        <v>6</v>
      </c>
      <c r="K5" s="462">
        <f>F5-G5-M5</f>
        <v>0</v>
      </c>
      <c r="L5" s="462">
        <v>0</v>
      </c>
      <c r="M5" s="463">
        <v>0</v>
      </c>
      <c r="N5" s="231"/>
      <c r="O5" s="148"/>
      <c r="P5" s="1293" t="s">
        <v>257</v>
      </c>
      <c r="Q5" s="1293" t="s">
        <v>257</v>
      </c>
      <c r="R5" s="1293" t="s">
        <v>257</v>
      </c>
      <c r="S5" s="1293" t="s">
        <v>258</v>
      </c>
      <c r="T5" s="1293" t="s">
        <v>257</v>
      </c>
      <c r="U5" s="1293" t="s">
        <v>258</v>
      </c>
    </row>
    <row r="6" spans="1:21">
      <c r="A6" s="786">
        <v>2</v>
      </c>
      <c r="B6" s="134" t="s">
        <v>27</v>
      </c>
      <c r="C6" s="458">
        <v>4</v>
      </c>
      <c r="D6" s="458">
        <v>5</v>
      </c>
      <c r="E6" s="459">
        <f t="shared" ref="E6:E28" si="0">C6+D6</f>
        <v>9</v>
      </c>
      <c r="F6" s="460">
        <v>3</v>
      </c>
      <c r="G6" s="460">
        <v>0</v>
      </c>
      <c r="H6" s="461"/>
      <c r="I6" s="460"/>
      <c r="J6" s="461"/>
      <c r="K6" s="462">
        <f t="shared" ref="K6:K26" si="1">F6-G6-M6</f>
        <v>3</v>
      </c>
      <c r="L6" s="462"/>
      <c r="M6" s="463">
        <v>0</v>
      </c>
      <c r="N6" s="1294"/>
      <c r="O6" s="134" t="s">
        <v>40</v>
      </c>
      <c r="P6" s="303"/>
      <c r="Q6" s="786"/>
      <c r="R6" s="786"/>
      <c r="S6" s="162"/>
      <c r="T6" s="786"/>
      <c r="U6" s="162"/>
    </row>
    <row r="7" spans="1:21">
      <c r="A7" s="786">
        <v>3</v>
      </c>
      <c r="B7" s="137" t="s">
        <v>46</v>
      </c>
      <c r="C7" s="458">
        <v>1</v>
      </c>
      <c r="D7" s="458">
        <v>4</v>
      </c>
      <c r="E7" s="459">
        <f t="shared" si="0"/>
        <v>5</v>
      </c>
      <c r="F7" s="460">
        <v>5</v>
      </c>
      <c r="G7" s="460">
        <v>4</v>
      </c>
      <c r="H7" s="461">
        <v>25.21</v>
      </c>
      <c r="I7" s="460">
        <v>4</v>
      </c>
      <c r="J7" s="461">
        <v>25.21</v>
      </c>
      <c r="K7" s="462">
        <v>0</v>
      </c>
      <c r="L7" s="462">
        <v>0</v>
      </c>
      <c r="M7" s="463">
        <v>1</v>
      </c>
      <c r="N7" s="231"/>
      <c r="O7" s="134" t="s">
        <v>70</v>
      </c>
      <c r="P7" s="303"/>
      <c r="Q7" s="786"/>
      <c r="R7" s="786"/>
      <c r="S7" s="162"/>
      <c r="T7" s="786"/>
      <c r="U7" s="162"/>
    </row>
    <row r="8" spans="1:21">
      <c r="A8" s="786">
        <v>4</v>
      </c>
      <c r="B8" s="134" t="s">
        <v>32</v>
      </c>
      <c r="C8" s="458">
        <v>4</v>
      </c>
      <c r="D8" s="458">
        <v>13</v>
      </c>
      <c r="E8" s="459">
        <f t="shared" si="0"/>
        <v>17</v>
      </c>
      <c r="F8" s="460">
        <v>1</v>
      </c>
      <c r="G8" s="460">
        <v>1</v>
      </c>
      <c r="H8" s="461">
        <v>4</v>
      </c>
      <c r="I8" s="460">
        <v>1</v>
      </c>
      <c r="J8" s="461">
        <v>4</v>
      </c>
      <c r="K8" s="462">
        <f t="shared" si="1"/>
        <v>0</v>
      </c>
      <c r="L8" s="462"/>
      <c r="M8" s="463">
        <v>0</v>
      </c>
      <c r="N8" s="464"/>
      <c r="O8" s="134" t="s">
        <v>38</v>
      </c>
      <c r="P8" s="303"/>
      <c r="Q8" s="786"/>
      <c r="R8" s="786"/>
      <c r="S8" s="162"/>
      <c r="T8" s="786"/>
      <c r="U8" s="162"/>
    </row>
    <row r="9" spans="1:21">
      <c r="A9" s="786">
        <v>5</v>
      </c>
      <c r="B9" s="134" t="s">
        <v>83</v>
      </c>
      <c r="C9" s="458">
        <v>1</v>
      </c>
      <c r="D9" s="458">
        <v>5</v>
      </c>
      <c r="E9" s="459">
        <f t="shared" si="0"/>
        <v>6</v>
      </c>
      <c r="F9" s="460">
        <v>0</v>
      </c>
      <c r="G9" s="460">
        <v>0</v>
      </c>
      <c r="H9" s="461"/>
      <c r="I9" s="460"/>
      <c r="J9" s="461"/>
      <c r="K9" s="462">
        <f t="shared" si="1"/>
        <v>0</v>
      </c>
      <c r="L9" s="462"/>
      <c r="M9" s="463">
        <v>0</v>
      </c>
      <c r="N9" s="464"/>
      <c r="O9" s="134" t="s">
        <v>33</v>
      </c>
      <c r="P9" s="303"/>
      <c r="Q9" s="786"/>
      <c r="R9" s="786"/>
      <c r="S9" s="162"/>
      <c r="T9" s="786"/>
      <c r="U9" s="162"/>
    </row>
    <row r="10" spans="1:21">
      <c r="A10" s="786">
        <v>6</v>
      </c>
      <c r="B10" s="134" t="s">
        <v>85</v>
      </c>
      <c r="C10" s="787">
        <v>12</v>
      </c>
      <c r="D10" s="458">
        <v>33</v>
      </c>
      <c r="E10" s="788">
        <f t="shared" si="0"/>
        <v>45</v>
      </c>
      <c r="F10" s="789">
        <v>45</v>
      </c>
      <c r="G10" s="789">
        <v>44</v>
      </c>
      <c r="H10" s="790"/>
      <c r="I10" s="789"/>
      <c r="J10" s="790"/>
      <c r="K10" s="791">
        <v>0</v>
      </c>
      <c r="L10" s="791"/>
      <c r="M10" s="792">
        <v>1</v>
      </c>
      <c r="N10" s="464"/>
      <c r="O10" s="134" t="s">
        <v>37</v>
      </c>
      <c r="P10" s="303"/>
      <c r="Q10" s="786"/>
      <c r="R10" s="786"/>
      <c r="S10" s="162"/>
      <c r="T10" s="786"/>
      <c r="U10" s="162"/>
    </row>
    <row r="11" spans="1:21">
      <c r="A11" s="786">
        <v>7</v>
      </c>
      <c r="B11" s="134" t="s">
        <v>17</v>
      </c>
      <c r="C11" s="458">
        <v>14</v>
      </c>
      <c r="D11" s="458">
        <v>40</v>
      </c>
      <c r="E11" s="459">
        <f t="shared" si="0"/>
        <v>54</v>
      </c>
      <c r="F11" s="460">
        <f>9+13+2</f>
        <v>24</v>
      </c>
      <c r="G11" s="460">
        <v>24</v>
      </c>
      <c r="H11" s="461">
        <f>26.6+27.22+10+62.8</f>
        <v>126.62</v>
      </c>
      <c r="I11" s="460">
        <v>24</v>
      </c>
      <c r="J11" s="461">
        <v>126.62</v>
      </c>
      <c r="K11" s="462">
        <v>0</v>
      </c>
      <c r="L11" s="462">
        <v>0</v>
      </c>
      <c r="M11" s="463">
        <v>0</v>
      </c>
      <c r="N11" s="231"/>
      <c r="O11" s="134" t="s">
        <v>259</v>
      </c>
      <c r="P11" s="303"/>
      <c r="Q11" s="786"/>
      <c r="R11" s="786"/>
      <c r="S11" s="162"/>
      <c r="T11" s="786"/>
      <c r="U11" s="162"/>
    </row>
    <row r="12" spans="1:21">
      <c r="A12" s="786">
        <v>8</v>
      </c>
      <c r="B12" s="134" t="s">
        <v>26</v>
      </c>
      <c r="C12" s="458">
        <v>5</v>
      </c>
      <c r="D12" s="458">
        <v>16</v>
      </c>
      <c r="E12" s="459">
        <f t="shared" si="0"/>
        <v>21</v>
      </c>
      <c r="F12" s="460">
        <v>4</v>
      </c>
      <c r="G12" s="460">
        <v>0</v>
      </c>
      <c r="H12" s="461"/>
      <c r="I12" s="460"/>
      <c r="J12" s="461"/>
      <c r="K12" s="462">
        <v>0</v>
      </c>
      <c r="L12" s="462"/>
      <c r="M12" s="463">
        <v>0</v>
      </c>
      <c r="N12" s="231"/>
      <c r="O12" s="134" t="s">
        <v>260</v>
      </c>
      <c r="P12" s="303"/>
      <c r="Q12" s="786"/>
      <c r="R12" s="786"/>
      <c r="S12" s="162"/>
      <c r="T12" s="786"/>
      <c r="U12" s="162"/>
    </row>
    <row r="13" spans="1:21">
      <c r="A13" s="786">
        <v>9</v>
      </c>
      <c r="B13" s="134" t="s">
        <v>11</v>
      </c>
      <c r="C13" s="458">
        <v>8</v>
      </c>
      <c r="D13" s="458">
        <v>19</v>
      </c>
      <c r="E13" s="459">
        <f t="shared" si="0"/>
        <v>27</v>
      </c>
      <c r="F13" s="460">
        <v>0</v>
      </c>
      <c r="G13" s="460">
        <v>0</v>
      </c>
      <c r="H13" s="461"/>
      <c r="I13" s="460"/>
      <c r="J13" s="461"/>
      <c r="K13" s="462">
        <f t="shared" si="1"/>
        <v>0</v>
      </c>
      <c r="L13" s="462"/>
      <c r="M13" s="463">
        <v>0</v>
      </c>
      <c r="N13" s="231"/>
      <c r="O13" s="134" t="s">
        <v>25</v>
      </c>
      <c r="P13" s="303"/>
      <c r="Q13" s="786"/>
      <c r="R13" s="786"/>
      <c r="S13" s="162"/>
      <c r="T13" s="786"/>
      <c r="U13" s="162"/>
    </row>
    <row r="14" spans="1:21">
      <c r="A14" s="793">
        <v>10</v>
      </c>
      <c r="B14" s="137" t="s">
        <v>90</v>
      </c>
      <c r="C14" s="458">
        <v>1</v>
      </c>
      <c r="D14" s="458">
        <v>4</v>
      </c>
      <c r="E14" s="459">
        <f t="shared" si="0"/>
        <v>5</v>
      </c>
      <c r="F14" s="460">
        <v>1</v>
      </c>
      <c r="G14" s="460">
        <v>0</v>
      </c>
      <c r="H14" s="461"/>
      <c r="I14" s="460"/>
      <c r="J14" s="461"/>
      <c r="K14" s="462">
        <f t="shared" si="1"/>
        <v>1</v>
      </c>
      <c r="L14" s="462"/>
      <c r="M14" s="463">
        <v>0</v>
      </c>
      <c r="N14" s="231"/>
      <c r="O14" s="134" t="s">
        <v>21</v>
      </c>
      <c r="P14" s="303"/>
      <c r="Q14" s="786"/>
      <c r="R14" s="786"/>
      <c r="S14" s="162"/>
      <c r="T14" s="786"/>
      <c r="U14" s="162"/>
    </row>
    <row r="15" spans="1:21">
      <c r="A15" s="786">
        <v>11</v>
      </c>
      <c r="B15" s="134" t="s">
        <v>92</v>
      </c>
      <c r="C15" s="458">
        <v>1</v>
      </c>
      <c r="D15" s="458">
        <v>4</v>
      </c>
      <c r="E15" s="459">
        <f t="shared" si="0"/>
        <v>5</v>
      </c>
      <c r="F15" s="460">
        <v>8</v>
      </c>
      <c r="G15" s="460">
        <v>8</v>
      </c>
      <c r="H15" s="461">
        <v>22.16</v>
      </c>
      <c r="I15" s="460">
        <v>8</v>
      </c>
      <c r="J15" s="461">
        <v>22.16</v>
      </c>
      <c r="K15" s="462">
        <f t="shared" si="1"/>
        <v>0</v>
      </c>
      <c r="L15" s="462">
        <v>0</v>
      </c>
      <c r="M15" s="463">
        <v>0</v>
      </c>
      <c r="N15" s="231"/>
      <c r="O15" s="134" t="s">
        <v>20</v>
      </c>
      <c r="P15" s="303"/>
      <c r="Q15" s="786"/>
      <c r="R15" s="786"/>
      <c r="S15" s="162"/>
      <c r="T15" s="786"/>
      <c r="U15" s="162"/>
    </row>
    <row r="16" spans="1:21">
      <c r="A16" s="786">
        <v>12</v>
      </c>
      <c r="B16" s="134" t="s">
        <v>51</v>
      </c>
      <c r="C16" s="458">
        <v>1</v>
      </c>
      <c r="D16" s="458">
        <v>4</v>
      </c>
      <c r="E16" s="459">
        <f t="shared" si="0"/>
        <v>5</v>
      </c>
      <c r="F16" s="460">
        <v>0</v>
      </c>
      <c r="G16" s="460">
        <v>0</v>
      </c>
      <c r="H16" s="461"/>
      <c r="I16" s="460"/>
      <c r="J16" s="461"/>
      <c r="K16" s="462">
        <f t="shared" si="1"/>
        <v>0</v>
      </c>
      <c r="L16" s="462"/>
      <c r="M16" s="463">
        <v>0</v>
      </c>
      <c r="N16" s="231"/>
      <c r="O16" s="134" t="s">
        <v>261</v>
      </c>
      <c r="P16" s="303"/>
      <c r="Q16" s="786"/>
      <c r="R16" s="786"/>
      <c r="S16" s="162"/>
      <c r="T16" s="786"/>
      <c r="U16" s="162"/>
    </row>
    <row r="17" spans="1:21">
      <c r="A17" s="786">
        <v>13</v>
      </c>
      <c r="B17" s="134" t="s">
        <v>52</v>
      </c>
      <c r="C17" s="458">
        <v>1</v>
      </c>
      <c r="D17" s="458">
        <v>4</v>
      </c>
      <c r="E17" s="459">
        <f t="shared" si="0"/>
        <v>5</v>
      </c>
      <c r="F17" s="460">
        <v>5</v>
      </c>
      <c r="G17" s="460">
        <v>1</v>
      </c>
      <c r="H17" s="461">
        <v>4.75</v>
      </c>
      <c r="I17" s="460">
        <v>1</v>
      </c>
      <c r="J17" s="461">
        <v>4.75</v>
      </c>
      <c r="K17" s="462">
        <v>0</v>
      </c>
      <c r="L17" s="462">
        <v>0</v>
      </c>
      <c r="M17" s="463">
        <v>4</v>
      </c>
      <c r="N17" s="231"/>
      <c r="O17" s="134" t="s">
        <v>263</v>
      </c>
      <c r="P17" s="303"/>
      <c r="Q17" s="786"/>
      <c r="R17" s="786"/>
      <c r="S17" s="162"/>
      <c r="T17" s="786"/>
      <c r="U17" s="162"/>
    </row>
    <row r="18" spans="1:21">
      <c r="A18" s="793">
        <v>14</v>
      </c>
      <c r="B18" s="137" t="s">
        <v>28</v>
      </c>
      <c r="C18" s="458">
        <v>2</v>
      </c>
      <c r="D18" s="458">
        <v>7</v>
      </c>
      <c r="E18" s="459">
        <f t="shared" si="0"/>
        <v>9</v>
      </c>
      <c r="F18" s="460">
        <v>3</v>
      </c>
      <c r="G18" s="460">
        <v>3</v>
      </c>
      <c r="H18" s="461">
        <v>20</v>
      </c>
      <c r="I18" s="460">
        <v>3</v>
      </c>
      <c r="J18" s="461">
        <v>20</v>
      </c>
      <c r="K18" s="462">
        <f t="shared" si="1"/>
        <v>0</v>
      </c>
      <c r="L18" s="462"/>
      <c r="M18" s="463">
        <v>0</v>
      </c>
      <c r="N18" s="231"/>
      <c r="O18" s="134" t="s">
        <v>264</v>
      </c>
      <c r="P18" s="303"/>
      <c r="Q18" s="786"/>
      <c r="R18" s="786"/>
      <c r="S18" s="162"/>
      <c r="T18" s="786"/>
      <c r="U18" s="162"/>
    </row>
    <row r="19" spans="1:21">
      <c r="A19" s="786">
        <v>15</v>
      </c>
      <c r="B19" s="134" t="s">
        <v>10</v>
      </c>
      <c r="C19" s="458">
        <v>173</v>
      </c>
      <c r="D19" s="458">
        <v>169</v>
      </c>
      <c r="E19" s="459">
        <f t="shared" si="0"/>
        <v>342</v>
      </c>
      <c r="F19" s="460">
        <v>1</v>
      </c>
      <c r="G19" s="460">
        <v>1</v>
      </c>
      <c r="H19" s="461">
        <v>2.1</v>
      </c>
      <c r="I19" s="460">
        <v>1</v>
      </c>
      <c r="J19" s="461">
        <v>2.1</v>
      </c>
      <c r="K19" s="462">
        <v>0</v>
      </c>
      <c r="L19" s="462">
        <v>0</v>
      </c>
      <c r="M19" s="463">
        <v>0</v>
      </c>
      <c r="N19" s="231"/>
      <c r="O19" s="134" t="s">
        <v>265</v>
      </c>
      <c r="P19" s="303"/>
      <c r="Q19" s="786"/>
      <c r="R19" s="786"/>
      <c r="S19" s="162"/>
      <c r="T19" s="786"/>
      <c r="U19" s="162"/>
    </row>
    <row r="20" spans="1:21">
      <c r="A20" s="793">
        <v>16</v>
      </c>
      <c r="B20" s="137" t="s">
        <v>98</v>
      </c>
      <c r="C20" s="458">
        <v>1</v>
      </c>
      <c r="D20" s="458">
        <v>4</v>
      </c>
      <c r="E20" s="459">
        <f t="shared" si="0"/>
        <v>5</v>
      </c>
      <c r="F20" s="460">
        <v>4</v>
      </c>
      <c r="G20" s="460">
        <v>4</v>
      </c>
      <c r="H20" s="461">
        <v>30.36</v>
      </c>
      <c r="I20" s="460">
        <v>4</v>
      </c>
      <c r="J20" s="461">
        <v>30.36</v>
      </c>
      <c r="K20" s="462">
        <v>0</v>
      </c>
      <c r="L20" s="462">
        <v>0</v>
      </c>
      <c r="M20" s="463">
        <v>0</v>
      </c>
      <c r="N20" s="464"/>
      <c r="O20" s="134" t="s">
        <v>266</v>
      </c>
      <c r="P20" s="303"/>
      <c r="Q20" s="786"/>
      <c r="R20" s="786"/>
      <c r="S20" s="162"/>
      <c r="T20" s="786"/>
      <c r="U20" s="162"/>
    </row>
    <row r="21" spans="1:21">
      <c r="A21" s="786">
        <v>17</v>
      </c>
      <c r="B21" s="134" t="s">
        <v>35</v>
      </c>
      <c r="C21" s="458">
        <v>2</v>
      </c>
      <c r="D21" s="458">
        <v>9</v>
      </c>
      <c r="E21" s="459">
        <f t="shared" si="0"/>
        <v>11</v>
      </c>
      <c r="F21" s="460">
        <v>4</v>
      </c>
      <c r="G21" s="460">
        <v>4</v>
      </c>
      <c r="H21" s="461">
        <v>14</v>
      </c>
      <c r="I21" s="460">
        <v>4</v>
      </c>
      <c r="J21" s="461">
        <v>14</v>
      </c>
      <c r="K21" s="462">
        <v>0</v>
      </c>
      <c r="L21" s="462">
        <v>0</v>
      </c>
      <c r="M21" s="463">
        <v>0</v>
      </c>
      <c r="N21" s="464"/>
      <c r="O21" s="134" t="s">
        <v>41</v>
      </c>
      <c r="P21" s="303"/>
      <c r="Q21" s="786"/>
      <c r="R21" s="786"/>
      <c r="S21" s="162"/>
      <c r="T21" s="786"/>
      <c r="U21" s="162"/>
    </row>
    <row r="22" spans="1:21">
      <c r="A22" s="793">
        <v>18</v>
      </c>
      <c r="B22" s="137" t="s">
        <v>54</v>
      </c>
      <c r="C22" s="458">
        <v>1</v>
      </c>
      <c r="D22" s="458">
        <v>5</v>
      </c>
      <c r="E22" s="459">
        <f t="shared" si="0"/>
        <v>6</v>
      </c>
      <c r="F22" s="460">
        <v>4</v>
      </c>
      <c r="G22" s="460">
        <v>2</v>
      </c>
      <c r="H22" s="461">
        <v>16</v>
      </c>
      <c r="I22" s="460">
        <v>2</v>
      </c>
      <c r="J22" s="461">
        <v>16</v>
      </c>
      <c r="K22" s="462">
        <v>0</v>
      </c>
      <c r="L22" s="462">
        <v>0</v>
      </c>
      <c r="M22" s="463">
        <v>2</v>
      </c>
      <c r="N22" s="231"/>
      <c r="O22" s="134" t="s">
        <v>44</v>
      </c>
      <c r="P22" s="303"/>
      <c r="Q22" s="786"/>
      <c r="R22" s="786"/>
      <c r="S22" s="162"/>
      <c r="T22" s="786"/>
      <c r="U22" s="162"/>
    </row>
    <row r="23" spans="1:21">
      <c r="A23" s="786">
        <v>19</v>
      </c>
      <c r="B23" s="134" t="s">
        <v>102</v>
      </c>
      <c r="C23" s="458">
        <v>1</v>
      </c>
      <c r="D23" s="458">
        <v>6</v>
      </c>
      <c r="E23" s="459">
        <f t="shared" si="0"/>
        <v>7</v>
      </c>
      <c r="F23" s="460">
        <v>1</v>
      </c>
      <c r="G23" s="460">
        <v>1</v>
      </c>
      <c r="H23" s="461">
        <v>10</v>
      </c>
      <c r="I23" s="460">
        <v>1</v>
      </c>
      <c r="J23" s="461">
        <v>9.5</v>
      </c>
      <c r="K23" s="462">
        <f t="shared" si="1"/>
        <v>0</v>
      </c>
      <c r="L23" s="462">
        <v>0</v>
      </c>
      <c r="M23" s="463">
        <v>0</v>
      </c>
      <c r="N23" s="1294"/>
      <c r="O23" s="1295" t="s">
        <v>29</v>
      </c>
      <c r="P23" s="303"/>
      <c r="Q23" s="1293"/>
      <c r="R23" s="1293"/>
      <c r="S23" s="1296"/>
      <c r="T23" s="1293"/>
      <c r="U23" s="1296"/>
    </row>
    <row r="24" spans="1:21">
      <c r="A24" s="793">
        <v>20</v>
      </c>
      <c r="B24" s="137" t="s">
        <v>104</v>
      </c>
      <c r="C24" s="787">
        <v>14</v>
      </c>
      <c r="D24" s="458">
        <v>16</v>
      </c>
      <c r="E24" s="788">
        <f t="shared" si="0"/>
        <v>30</v>
      </c>
      <c r="F24" s="789">
        <v>30</v>
      </c>
      <c r="G24" s="789">
        <v>30</v>
      </c>
      <c r="H24" s="790"/>
      <c r="I24" s="789"/>
      <c r="J24" s="790"/>
      <c r="K24" s="791">
        <v>0</v>
      </c>
      <c r="L24" s="791"/>
      <c r="M24" s="792">
        <v>0</v>
      </c>
      <c r="N24" s="231"/>
      <c r="O24" s="767" t="s">
        <v>14</v>
      </c>
      <c r="P24" s="303"/>
      <c r="Q24" s="767"/>
      <c r="R24" s="767"/>
      <c r="S24" s="767"/>
      <c r="T24" s="767"/>
      <c r="U24" s="767"/>
    </row>
    <row r="25" spans="1:21">
      <c r="A25" s="786">
        <v>21</v>
      </c>
      <c r="B25" s="134" t="s">
        <v>106</v>
      </c>
      <c r="C25" s="458">
        <v>1</v>
      </c>
      <c r="D25" s="458">
        <v>2</v>
      </c>
      <c r="E25" s="459">
        <f t="shared" si="0"/>
        <v>3</v>
      </c>
      <c r="F25" s="460">
        <v>0</v>
      </c>
      <c r="G25" s="460">
        <v>0</v>
      </c>
      <c r="H25" s="461"/>
      <c r="I25" s="460"/>
      <c r="J25" s="461"/>
      <c r="K25" s="462">
        <f t="shared" si="1"/>
        <v>0</v>
      </c>
      <c r="L25" s="462"/>
      <c r="M25" s="463">
        <v>0</v>
      </c>
      <c r="N25" s="231"/>
      <c r="O25" s="767" t="s">
        <v>34</v>
      </c>
      <c r="P25" s="303"/>
      <c r="Q25" s="767"/>
      <c r="R25" s="767"/>
      <c r="S25" s="767"/>
      <c r="T25" s="767"/>
      <c r="U25" s="767"/>
    </row>
    <row r="26" spans="1:21">
      <c r="A26" s="1297">
        <v>22</v>
      </c>
      <c r="B26" s="1298" t="s">
        <v>237</v>
      </c>
      <c r="C26" s="458">
        <v>1</v>
      </c>
      <c r="D26" s="458">
        <v>2</v>
      </c>
      <c r="E26" s="459">
        <f t="shared" si="0"/>
        <v>3</v>
      </c>
      <c r="F26" s="460">
        <v>0</v>
      </c>
      <c r="G26" s="460">
        <v>0</v>
      </c>
      <c r="H26" s="461"/>
      <c r="I26" s="460"/>
      <c r="J26" s="461"/>
      <c r="K26" s="462">
        <f t="shared" si="1"/>
        <v>0</v>
      </c>
      <c r="L26" s="462"/>
      <c r="M26" s="463">
        <v>0</v>
      </c>
      <c r="N26" s="231"/>
      <c r="O26" s="842" t="s">
        <v>13</v>
      </c>
      <c r="P26" s="303"/>
      <c r="Q26" s="767"/>
      <c r="R26" s="767"/>
      <c r="S26" s="767"/>
      <c r="T26" s="767"/>
      <c r="U26" s="767"/>
    </row>
    <row r="27" spans="1:21">
      <c r="A27" s="1297">
        <v>23</v>
      </c>
      <c r="B27" s="1298" t="s">
        <v>108</v>
      </c>
      <c r="C27" s="458">
        <v>0</v>
      </c>
      <c r="D27" s="458">
        <v>0</v>
      </c>
      <c r="E27" s="459">
        <v>0</v>
      </c>
      <c r="F27" s="460">
        <v>0</v>
      </c>
      <c r="G27" s="460">
        <v>0</v>
      </c>
      <c r="H27" s="461"/>
      <c r="I27" s="460"/>
      <c r="J27" s="461"/>
      <c r="K27" s="462"/>
      <c r="L27" s="462"/>
      <c r="M27" s="463"/>
      <c r="N27" s="231"/>
      <c r="O27" s="1299"/>
      <c r="P27" s="1300"/>
      <c r="Q27" s="1294"/>
      <c r="R27" s="1294"/>
      <c r="S27" s="1294"/>
      <c r="T27" s="1294"/>
      <c r="U27" s="1294"/>
    </row>
    <row r="28" spans="1:21">
      <c r="A28" s="1590" t="s">
        <v>267</v>
      </c>
      <c r="B28" s="1591"/>
      <c r="C28" s="849">
        <f>SUM(C5:C26)</f>
        <v>251</v>
      </c>
      <c r="D28" s="849">
        <f>SUM(D5:D26)</f>
        <v>371</v>
      </c>
      <c r="E28" s="459">
        <f t="shared" si="0"/>
        <v>622</v>
      </c>
      <c r="F28" s="850">
        <f>SUM(F5:F26)</f>
        <v>145</v>
      </c>
      <c r="G28" s="850">
        <f>SUM(G5:G26)</f>
        <v>129</v>
      </c>
      <c r="H28" s="850">
        <f t="shared" ref="H28:M28" si="2">SUM(H5:H26)</f>
        <v>281.2</v>
      </c>
      <c r="I28" s="850">
        <f t="shared" si="2"/>
        <v>55</v>
      </c>
      <c r="J28" s="850">
        <f t="shared" si="2"/>
        <v>280.7</v>
      </c>
      <c r="K28" s="850">
        <f t="shared" si="2"/>
        <v>4</v>
      </c>
      <c r="L28" s="850">
        <f t="shared" si="2"/>
        <v>0</v>
      </c>
      <c r="M28" s="850">
        <f t="shared" si="2"/>
        <v>8</v>
      </c>
      <c r="N28" s="232"/>
      <c r="O28" s="231"/>
      <c r="P28" s="172"/>
      <c r="Q28" s="172"/>
      <c r="R28" s="172"/>
      <c r="S28" s="172"/>
      <c r="T28" s="172"/>
      <c r="U28" s="172"/>
    </row>
    <row r="29" spans="1:21">
      <c r="A29" s="786"/>
      <c r="B29" s="137" t="s">
        <v>16</v>
      </c>
      <c r="C29" s="457" t="s">
        <v>268</v>
      </c>
      <c r="D29" s="457">
        <v>0</v>
      </c>
      <c r="E29" s="457">
        <v>0</v>
      </c>
      <c r="F29" s="460"/>
      <c r="G29" s="460"/>
      <c r="H29" s="461"/>
      <c r="I29" s="460"/>
      <c r="J29" s="461"/>
      <c r="K29" s="462"/>
      <c r="L29" s="462"/>
      <c r="M29" s="693"/>
      <c r="N29" s="231"/>
      <c r="O29" s="231"/>
      <c r="P29" s="172"/>
      <c r="Q29" s="172"/>
      <c r="R29" s="172"/>
      <c r="S29" s="172"/>
      <c r="T29" s="172"/>
      <c r="U29" s="172"/>
    </row>
    <row r="30" spans="1:21">
      <c r="A30" s="786"/>
      <c r="B30" s="137" t="s">
        <v>269</v>
      </c>
      <c r="C30" s="457" t="s">
        <v>268</v>
      </c>
      <c r="D30" s="457">
        <v>0</v>
      </c>
      <c r="E30" s="457">
        <v>0</v>
      </c>
      <c r="F30" s="460"/>
      <c r="G30" s="460"/>
      <c r="H30" s="461"/>
      <c r="I30" s="460"/>
      <c r="J30" s="461"/>
      <c r="K30" s="462"/>
      <c r="L30" s="462"/>
      <c r="M30" s="852"/>
      <c r="N30" s="231"/>
      <c r="O30" s="231"/>
      <c r="P30" s="172"/>
      <c r="Q30" s="172"/>
      <c r="R30" s="172"/>
      <c r="S30" s="172"/>
      <c r="T30" s="172"/>
      <c r="U30" s="172"/>
    </row>
    <row r="31" spans="1:21">
      <c r="A31" s="1590" t="s">
        <v>270</v>
      </c>
      <c r="B31" s="1591"/>
      <c r="C31" s="718">
        <v>250</v>
      </c>
      <c r="D31" s="849">
        <f>SUM(D28:D30)</f>
        <v>371</v>
      </c>
      <c r="E31" s="849">
        <f>SUM(E28:E30)</f>
        <v>622</v>
      </c>
      <c r="F31" s="850">
        <f>SUM(F28:F30)</f>
        <v>145</v>
      </c>
      <c r="G31" s="850">
        <f>SUM(G28:G30)</f>
        <v>129</v>
      </c>
      <c r="H31" s="851"/>
      <c r="I31" s="850"/>
      <c r="J31" s="851"/>
      <c r="K31" s="462">
        <f>SUM(K28:K30)</f>
        <v>4</v>
      </c>
      <c r="L31" s="462"/>
      <c r="M31" s="853">
        <f>SUM(M28:M30)</f>
        <v>8</v>
      </c>
      <c r="N31" s="232"/>
      <c r="O31" s="231"/>
      <c r="P31" s="172"/>
      <c r="Q31" s="172"/>
      <c r="R31" s="172"/>
      <c r="S31" s="172"/>
      <c r="T31" s="172"/>
      <c r="U31" s="172"/>
    </row>
    <row r="32" spans="1:21">
      <c r="A32" s="1590" t="s">
        <v>271</v>
      </c>
      <c r="B32" s="1591"/>
      <c r="C32" s="1293">
        <v>250</v>
      </c>
      <c r="D32" s="1293">
        <v>375</v>
      </c>
      <c r="E32" s="1293">
        <v>625</v>
      </c>
      <c r="F32" s="1302">
        <v>337</v>
      </c>
      <c r="G32" s="1302">
        <v>57</v>
      </c>
      <c r="H32" s="1303"/>
      <c r="I32" s="1302"/>
      <c r="J32" s="1303"/>
      <c r="K32" s="1304">
        <v>275</v>
      </c>
      <c r="L32" s="1305"/>
      <c r="M32" s="1306">
        <v>5</v>
      </c>
      <c r="N32" s="1299"/>
      <c r="O32" s="1299"/>
      <c r="P32" s="1307"/>
      <c r="Q32" s="1307"/>
      <c r="R32" s="1307"/>
      <c r="S32" s="1307"/>
      <c r="T32" s="1307"/>
      <c r="U32" s="1307"/>
    </row>
  </sheetData>
  <mergeCells count="8">
    <mergeCell ref="A32:B32"/>
    <mergeCell ref="A1:U1"/>
    <mergeCell ref="A2:U2"/>
    <mergeCell ref="A3:U3"/>
    <mergeCell ref="R4:S4"/>
    <mergeCell ref="T4:U4"/>
    <mergeCell ref="A28:B28"/>
    <mergeCell ref="A31:B31"/>
  </mergeCells>
  <printOptions gridLines="1"/>
  <pageMargins left="0.7" right="0.7" top="0.75" bottom="0.75" header="0.3" footer="0.3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M7" sqref="M7"/>
    </sheetView>
  </sheetViews>
  <sheetFormatPr defaultRowHeight="15"/>
  <sheetData>
    <row r="1" spans="1:10" ht="18">
      <c r="A1" s="1419">
        <v>1</v>
      </c>
      <c r="B1" s="1419"/>
      <c r="C1" s="1419"/>
      <c r="D1" s="1419"/>
      <c r="E1" s="1419"/>
      <c r="F1" s="1419"/>
      <c r="G1" s="1419"/>
      <c r="H1" s="1419"/>
      <c r="I1" s="1419"/>
      <c r="J1" s="1419"/>
    </row>
    <row r="2" spans="1:10" ht="15.75">
      <c r="A2" s="1420" t="s">
        <v>402</v>
      </c>
      <c r="B2" s="1420"/>
      <c r="C2" s="1420"/>
      <c r="D2" s="1420"/>
      <c r="E2" s="1420"/>
      <c r="F2" s="1420"/>
      <c r="G2" s="1420"/>
      <c r="H2" s="1420"/>
      <c r="I2" s="1420"/>
      <c r="J2" s="1420"/>
    </row>
    <row r="3" spans="1:10">
      <c r="A3" s="1421" t="s">
        <v>274</v>
      </c>
      <c r="B3" s="1421" t="s">
        <v>65</v>
      </c>
      <c r="C3" s="1421" t="s">
        <v>403</v>
      </c>
      <c r="D3" s="1422" t="s">
        <v>404</v>
      </c>
      <c r="E3" s="1422" t="s">
        <v>405</v>
      </c>
      <c r="F3" s="1423" t="s">
        <v>406</v>
      </c>
      <c r="G3" s="1423" t="s">
        <v>407</v>
      </c>
      <c r="H3" s="1422" t="s">
        <v>408</v>
      </c>
      <c r="I3" s="1422"/>
      <c r="J3" s="1422"/>
    </row>
    <row r="4" spans="1:10" ht="43.5" customHeight="1">
      <c r="A4" s="1421"/>
      <c r="B4" s="1421"/>
      <c r="C4" s="1421"/>
      <c r="D4" s="1422"/>
      <c r="E4" s="1422"/>
      <c r="F4" s="1424"/>
      <c r="G4" s="1424"/>
      <c r="H4" s="304" t="s">
        <v>409</v>
      </c>
      <c r="I4" s="304" t="s">
        <v>410</v>
      </c>
      <c r="J4" s="304" t="s">
        <v>411</v>
      </c>
    </row>
    <row r="5" spans="1:10" ht="34.5">
      <c r="A5" s="305">
        <v>1</v>
      </c>
      <c r="B5" s="305" t="s">
        <v>41</v>
      </c>
      <c r="C5" s="306">
        <v>49950</v>
      </c>
      <c r="D5" s="306">
        <v>714</v>
      </c>
      <c r="E5" s="306">
        <v>23</v>
      </c>
      <c r="F5" s="306">
        <v>128</v>
      </c>
      <c r="G5" s="306">
        <v>29191</v>
      </c>
      <c r="H5" s="307">
        <v>60.61</v>
      </c>
      <c r="I5" s="307">
        <v>68.540000000000006</v>
      </c>
      <c r="J5" s="306">
        <v>48.75</v>
      </c>
    </row>
    <row r="6" spans="1:10" ht="51.75">
      <c r="A6" s="305">
        <v>2</v>
      </c>
      <c r="B6" s="305" t="s">
        <v>42</v>
      </c>
      <c r="C6" s="306">
        <v>87013</v>
      </c>
      <c r="D6" s="306">
        <v>755</v>
      </c>
      <c r="E6" s="306">
        <v>10</v>
      </c>
      <c r="F6" s="306">
        <v>372</v>
      </c>
      <c r="G6" s="306">
        <v>36951</v>
      </c>
      <c r="H6" s="307">
        <v>69.400000000000006</v>
      </c>
      <c r="I6" s="307">
        <v>75.66</v>
      </c>
      <c r="J6" s="306">
        <v>60.8</v>
      </c>
    </row>
    <row r="7" spans="1:10" ht="51.75">
      <c r="A7" s="305">
        <v>3</v>
      </c>
      <c r="B7" s="305" t="s">
        <v>43</v>
      </c>
      <c r="C7" s="306">
        <v>78413</v>
      </c>
      <c r="D7" s="306">
        <v>1029</v>
      </c>
      <c r="E7" s="306">
        <v>14</v>
      </c>
      <c r="F7" s="306">
        <v>97</v>
      </c>
      <c r="G7" s="306">
        <v>49585</v>
      </c>
      <c r="H7" s="307">
        <v>62.48</v>
      </c>
      <c r="I7" s="307">
        <v>70.95</v>
      </c>
      <c r="J7" s="306">
        <v>54.18</v>
      </c>
    </row>
    <row r="8" spans="1:10" ht="51.75">
      <c r="A8" s="305">
        <v>4</v>
      </c>
      <c r="B8" s="305" t="s">
        <v>412</v>
      </c>
      <c r="C8" s="306">
        <v>176385</v>
      </c>
      <c r="D8" s="306">
        <v>950</v>
      </c>
      <c r="E8" s="306">
        <v>35</v>
      </c>
      <c r="F8" s="306">
        <v>1397</v>
      </c>
      <c r="G8" s="306">
        <v>69007</v>
      </c>
      <c r="H8" s="307">
        <v>82.14</v>
      </c>
      <c r="I8" s="307">
        <v>87.33</v>
      </c>
      <c r="J8" s="306">
        <v>76.650000000000006</v>
      </c>
    </row>
    <row r="9" spans="1:10" ht="51.75">
      <c r="A9" s="305">
        <v>5</v>
      </c>
      <c r="B9" s="305" t="s">
        <v>18</v>
      </c>
      <c r="C9" s="306">
        <v>82839</v>
      </c>
      <c r="D9" s="306">
        <v>975</v>
      </c>
      <c r="E9" s="306">
        <v>42</v>
      </c>
      <c r="F9" s="306">
        <v>169</v>
      </c>
      <c r="G9" s="306">
        <v>46893</v>
      </c>
      <c r="H9" s="307">
        <v>76.33</v>
      </c>
      <c r="I9" s="307">
        <v>82.4</v>
      </c>
      <c r="J9" s="307">
        <v>70.099999999999994</v>
      </c>
    </row>
    <row r="10" spans="1:10" ht="34.5">
      <c r="A10" s="305">
        <v>6</v>
      </c>
      <c r="B10" s="305" t="s">
        <v>2</v>
      </c>
      <c r="C10" s="306">
        <v>89717</v>
      </c>
      <c r="D10" s="306">
        <v>1029</v>
      </c>
      <c r="E10" s="306">
        <v>5</v>
      </c>
      <c r="F10" s="306">
        <v>28</v>
      </c>
      <c r="G10" s="306">
        <v>41619</v>
      </c>
      <c r="H10" s="307">
        <v>50.67</v>
      </c>
      <c r="I10" s="307">
        <v>57.28</v>
      </c>
      <c r="J10" s="306">
        <v>44.31</v>
      </c>
    </row>
    <row r="11" spans="1:10" ht="51.75">
      <c r="A11" s="305">
        <v>7</v>
      </c>
      <c r="B11" s="305" t="s">
        <v>15</v>
      </c>
      <c r="C11" s="306">
        <v>83205</v>
      </c>
      <c r="D11" s="306">
        <v>982</v>
      </c>
      <c r="E11" s="306">
        <v>8</v>
      </c>
      <c r="F11" s="306">
        <v>99</v>
      </c>
      <c r="G11" s="306">
        <v>49552</v>
      </c>
      <c r="H11" s="307">
        <v>63.96</v>
      </c>
      <c r="I11" s="307">
        <v>67.36</v>
      </c>
      <c r="J11" s="306">
        <v>60.51</v>
      </c>
    </row>
    <row r="12" spans="1:10" ht="34.5">
      <c r="A12" s="305">
        <v>8</v>
      </c>
      <c r="B12" s="305" t="s">
        <v>21</v>
      </c>
      <c r="C12" s="306">
        <v>112272</v>
      </c>
      <c r="D12" s="306">
        <v>916</v>
      </c>
      <c r="E12" s="306">
        <v>13</v>
      </c>
      <c r="F12" s="306">
        <v>379</v>
      </c>
      <c r="G12" s="306">
        <v>84922</v>
      </c>
      <c r="H12" s="307">
        <v>67.62</v>
      </c>
      <c r="I12" s="307">
        <v>73.89</v>
      </c>
      <c r="J12" s="306" t="s">
        <v>413</v>
      </c>
    </row>
    <row r="13" spans="1:10" ht="34.5">
      <c r="A13" s="305">
        <v>9</v>
      </c>
      <c r="B13" s="305" t="s">
        <v>25</v>
      </c>
      <c r="C13" s="306">
        <v>99019</v>
      </c>
      <c r="D13" s="306">
        <v>962</v>
      </c>
      <c r="E13" s="306">
        <v>22</v>
      </c>
      <c r="F13" s="306">
        <v>531</v>
      </c>
      <c r="G13" s="306">
        <v>60420</v>
      </c>
      <c r="H13" s="307">
        <v>73.540000000000006</v>
      </c>
      <c r="I13" s="307">
        <v>78.94</v>
      </c>
      <c r="J13" s="307">
        <v>67.900000000000006</v>
      </c>
    </row>
    <row r="14" spans="1:10" ht="34.5">
      <c r="A14" s="305">
        <v>10</v>
      </c>
      <c r="B14" s="305" t="s">
        <v>20</v>
      </c>
      <c r="C14" s="306">
        <v>35289</v>
      </c>
      <c r="D14" s="306">
        <v>891</v>
      </c>
      <c r="E14" s="306">
        <v>5</v>
      </c>
      <c r="F14" s="306">
        <v>124</v>
      </c>
      <c r="G14" s="306">
        <v>26094</v>
      </c>
      <c r="H14" s="307">
        <v>59.94</v>
      </c>
      <c r="I14" s="307">
        <v>64.09</v>
      </c>
      <c r="J14" s="306">
        <v>55.22</v>
      </c>
    </row>
    <row r="15" spans="1:10" ht="51.75">
      <c r="A15" s="305">
        <v>11</v>
      </c>
      <c r="B15" s="305" t="s">
        <v>30</v>
      </c>
      <c r="C15" s="306">
        <v>7948</v>
      </c>
      <c r="D15" s="306">
        <v>808</v>
      </c>
      <c r="E15" s="306">
        <v>4</v>
      </c>
      <c r="F15" s="306">
        <v>50759</v>
      </c>
      <c r="G15" s="306">
        <v>4827</v>
      </c>
      <c r="H15" s="307">
        <v>64.8</v>
      </c>
      <c r="I15" s="306">
        <v>69.39</v>
      </c>
      <c r="J15" s="308">
        <v>59.1</v>
      </c>
    </row>
    <row r="16" spans="1:10" ht="69">
      <c r="A16" s="305">
        <v>12</v>
      </c>
      <c r="B16" s="305" t="s">
        <v>31</v>
      </c>
      <c r="C16" s="306">
        <v>53986</v>
      </c>
      <c r="D16" s="306">
        <v>919</v>
      </c>
      <c r="E16" s="306">
        <v>13</v>
      </c>
      <c r="F16" s="306">
        <v>448</v>
      </c>
      <c r="G16" s="306">
        <v>22005</v>
      </c>
      <c r="H16" s="307">
        <v>70.38</v>
      </c>
      <c r="I16" s="307">
        <v>82.4</v>
      </c>
      <c r="J16" s="307">
        <v>70.099999999999994</v>
      </c>
    </row>
    <row r="17" spans="1:10" ht="17.25">
      <c r="A17" s="305">
        <v>13</v>
      </c>
      <c r="B17" s="305" t="s">
        <v>33</v>
      </c>
      <c r="C17" s="306">
        <v>145538</v>
      </c>
      <c r="D17" s="306">
        <v>901</v>
      </c>
      <c r="E17" s="306">
        <v>13</v>
      </c>
      <c r="F17" s="306">
        <v>1796</v>
      </c>
      <c r="G17" s="306">
        <v>40552</v>
      </c>
      <c r="H17" s="307">
        <v>69.88</v>
      </c>
      <c r="I17" s="307">
        <v>77.25</v>
      </c>
      <c r="J17" s="308">
        <v>61.62</v>
      </c>
    </row>
    <row r="18" spans="1:10" ht="17.25">
      <c r="A18" s="305">
        <v>14</v>
      </c>
      <c r="B18" s="305" t="s">
        <v>37</v>
      </c>
      <c r="C18" s="306">
        <v>21089</v>
      </c>
      <c r="D18" s="306">
        <v>805</v>
      </c>
      <c r="E18" s="306">
        <v>3</v>
      </c>
      <c r="F18" s="306">
        <v>19</v>
      </c>
      <c r="G18" s="306">
        <v>14249</v>
      </c>
      <c r="H18" s="307">
        <v>59.4</v>
      </c>
      <c r="I18" s="307">
        <v>69.540000000000006</v>
      </c>
      <c r="J18" s="306">
        <v>46.39</v>
      </c>
    </row>
    <row r="19" spans="1:10" ht="34.5">
      <c r="A19" s="305">
        <v>15</v>
      </c>
      <c r="B19" s="305" t="s">
        <v>414</v>
      </c>
      <c r="C19" s="306">
        <v>147951</v>
      </c>
      <c r="D19" s="306">
        <v>914</v>
      </c>
      <c r="E19" s="306">
        <v>27</v>
      </c>
      <c r="F19" s="306">
        <v>372</v>
      </c>
      <c r="G19" s="306">
        <v>45351</v>
      </c>
      <c r="H19" s="307">
        <v>61.9</v>
      </c>
      <c r="I19" s="307">
        <v>70.8</v>
      </c>
      <c r="J19" s="306">
        <v>52.08</v>
      </c>
    </row>
    <row r="20" spans="1:10" ht="17.25">
      <c r="A20" s="305">
        <v>16</v>
      </c>
      <c r="B20" s="305" t="s">
        <v>40</v>
      </c>
      <c r="C20" s="306">
        <v>111997</v>
      </c>
      <c r="D20" s="306">
        <v>931</v>
      </c>
      <c r="E20" s="306">
        <v>43</v>
      </c>
      <c r="F20" s="306">
        <v>170</v>
      </c>
      <c r="G20" s="306">
        <v>83940</v>
      </c>
      <c r="H20" s="307">
        <v>52.23</v>
      </c>
      <c r="I20" s="307">
        <v>61.87</v>
      </c>
      <c r="J20" s="306">
        <v>41.83</v>
      </c>
    </row>
    <row r="21" spans="1:10">
      <c r="A21" s="309"/>
      <c r="B21" s="310" t="s">
        <v>63</v>
      </c>
      <c r="C21" s="309">
        <f>SUM(C5:C20)</f>
        <v>1382611</v>
      </c>
      <c r="D21" s="309">
        <v>938</v>
      </c>
      <c r="E21" s="309">
        <v>17</v>
      </c>
      <c r="F21" s="309">
        <f>SUM(F5:F20)</f>
        <v>56888</v>
      </c>
      <c r="G21" s="309">
        <f>SUM(G5:G20)</f>
        <v>705158</v>
      </c>
      <c r="H21" s="311">
        <v>66.95</v>
      </c>
      <c r="I21" s="311">
        <v>73.69</v>
      </c>
      <c r="J21" s="309">
        <v>59.57</v>
      </c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90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R12" sqref="R12"/>
    </sheetView>
  </sheetViews>
  <sheetFormatPr defaultRowHeight="15"/>
  <sheetData>
    <row r="1" spans="1:15" ht="15.75">
      <c r="A1" s="1482">
        <v>39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</row>
    <row r="2" spans="1:15" ht="15.75">
      <c r="A2" s="1596" t="s">
        <v>308</v>
      </c>
      <c r="B2" s="1596"/>
      <c r="C2" s="1596"/>
      <c r="D2" s="1596"/>
      <c r="E2" s="1596"/>
      <c r="F2" s="1596"/>
      <c r="G2" s="1596"/>
      <c r="H2" s="1596"/>
      <c r="I2" s="244"/>
      <c r="J2" s="1597" t="s">
        <v>309</v>
      </c>
      <c r="K2" s="1597"/>
      <c r="L2" s="1597"/>
      <c r="M2" s="1597"/>
      <c r="N2" s="1597"/>
      <c r="O2" s="1597"/>
    </row>
    <row r="3" spans="1:15" ht="15.75">
      <c r="A3" s="1570" t="s">
        <v>603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  <c r="L3" s="1570"/>
      <c r="M3" s="1570"/>
      <c r="N3" s="1570"/>
      <c r="O3" s="1570"/>
    </row>
    <row r="4" spans="1:15" ht="38.25">
      <c r="A4" s="1036" t="s">
        <v>130</v>
      </c>
      <c r="B4" s="246" t="s">
        <v>131</v>
      </c>
      <c r="C4" s="246" t="s">
        <v>310</v>
      </c>
      <c r="D4" s="246" t="s">
        <v>311</v>
      </c>
      <c r="E4" s="246" t="s">
        <v>211</v>
      </c>
      <c r="F4" s="246" t="s">
        <v>212</v>
      </c>
      <c r="G4" s="247" t="s">
        <v>213</v>
      </c>
      <c r="H4" s="1032" t="s">
        <v>312</v>
      </c>
      <c r="I4" s="249"/>
      <c r="J4" s="1032" t="s">
        <v>310</v>
      </c>
      <c r="K4" s="1032" t="s">
        <v>311</v>
      </c>
      <c r="L4" s="1032" t="s">
        <v>211</v>
      </c>
      <c r="M4" s="1032" t="s">
        <v>212</v>
      </c>
      <c r="N4" s="1032" t="s">
        <v>213</v>
      </c>
      <c r="O4" s="1032" t="s">
        <v>312</v>
      </c>
    </row>
    <row r="5" spans="1:15">
      <c r="A5" s="250">
        <v>1</v>
      </c>
      <c r="B5" s="251" t="s">
        <v>78</v>
      </c>
      <c r="C5" s="251">
        <v>10</v>
      </c>
      <c r="D5" s="252">
        <v>18</v>
      </c>
      <c r="E5" s="252">
        <v>7</v>
      </c>
      <c r="F5" s="252">
        <v>2</v>
      </c>
      <c r="G5" s="253">
        <f>F5/E5%</f>
        <v>28.571428571428569</v>
      </c>
      <c r="H5" s="254">
        <f>E5-F5</f>
        <v>5</v>
      </c>
      <c r="I5" s="549"/>
      <c r="J5" s="550">
        <v>0</v>
      </c>
      <c r="K5" s="254">
        <v>0</v>
      </c>
      <c r="L5" s="254">
        <v>0</v>
      </c>
      <c r="M5" s="254">
        <v>0</v>
      </c>
      <c r="N5" s="254">
        <v>0</v>
      </c>
      <c r="O5" s="254">
        <v>0</v>
      </c>
    </row>
    <row r="6" spans="1:15">
      <c r="A6" s="250">
        <v>2</v>
      </c>
      <c r="B6" s="251" t="s">
        <v>27</v>
      </c>
      <c r="C6" s="251">
        <v>14</v>
      </c>
      <c r="D6" s="252">
        <v>15.62</v>
      </c>
      <c r="E6" s="252">
        <v>35.28</v>
      </c>
      <c r="F6" s="252">
        <v>0</v>
      </c>
      <c r="G6" s="253">
        <f t="shared" ref="G6:G25" si="0">F6/E6%</f>
        <v>0</v>
      </c>
      <c r="H6" s="254">
        <f t="shared" ref="H6:H25" si="1">E6-F6</f>
        <v>35.28</v>
      </c>
      <c r="I6" s="549"/>
      <c r="J6" s="550">
        <v>0</v>
      </c>
      <c r="K6" s="254">
        <v>0</v>
      </c>
      <c r="L6" s="254">
        <v>0</v>
      </c>
      <c r="M6" s="254">
        <v>0</v>
      </c>
      <c r="N6" s="254">
        <v>0</v>
      </c>
      <c r="O6" s="254">
        <v>0</v>
      </c>
    </row>
    <row r="7" spans="1:15">
      <c r="A7" s="250">
        <v>3</v>
      </c>
      <c r="B7" s="251" t="s">
        <v>46</v>
      </c>
      <c r="C7" s="251">
        <v>17</v>
      </c>
      <c r="D7" s="252">
        <v>57.66</v>
      </c>
      <c r="E7" s="252">
        <v>32.450000000000003</v>
      </c>
      <c r="F7" s="252">
        <v>0</v>
      </c>
      <c r="G7" s="253">
        <f t="shared" si="0"/>
        <v>0</v>
      </c>
      <c r="H7" s="254">
        <f t="shared" si="1"/>
        <v>32.450000000000003</v>
      </c>
      <c r="I7" s="549"/>
      <c r="J7" s="550">
        <v>0</v>
      </c>
      <c r="K7" s="254">
        <v>0</v>
      </c>
      <c r="L7" s="254">
        <v>0</v>
      </c>
      <c r="M7" s="254">
        <v>0</v>
      </c>
      <c r="N7" s="254">
        <v>0</v>
      </c>
      <c r="O7" s="254">
        <f>L7-M7</f>
        <v>0</v>
      </c>
    </row>
    <row r="8" spans="1:15">
      <c r="A8" s="250">
        <v>4</v>
      </c>
      <c r="B8" s="251" t="s">
        <v>32</v>
      </c>
      <c r="C8" s="251">
        <v>13</v>
      </c>
      <c r="D8" s="252">
        <v>17.600000000000001</v>
      </c>
      <c r="E8" s="252">
        <v>3.5</v>
      </c>
      <c r="F8" s="252">
        <v>0</v>
      </c>
      <c r="G8" s="253">
        <f t="shared" si="0"/>
        <v>0</v>
      </c>
      <c r="H8" s="254">
        <f t="shared" si="1"/>
        <v>3.5</v>
      </c>
      <c r="I8" s="549"/>
      <c r="J8" s="550">
        <v>0</v>
      </c>
      <c r="K8" s="254">
        <v>0</v>
      </c>
      <c r="L8" s="254">
        <v>0</v>
      </c>
      <c r="M8" s="254">
        <v>0</v>
      </c>
      <c r="N8" s="254">
        <v>0</v>
      </c>
      <c r="O8" s="254">
        <v>0</v>
      </c>
    </row>
    <row r="9" spans="1:15">
      <c r="A9" s="250">
        <v>5</v>
      </c>
      <c r="B9" s="251" t="s">
        <v>83</v>
      </c>
      <c r="C9" s="251">
        <v>2</v>
      </c>
      <c r="D9" s="252">
        <v>5.7</v>
      </c>
      <c r="E9" s="252">
        <v>2</v>
      </c>
      <c r="F9" s="252">
        <v>0</v>
      </c>
      <c r="G9" s="253">
        <v>0</v>
      </c>
      <c r="H9" s="254">
        <f t="shared" si="1"/>
        <v>2</v>
      </c>
      <c r="I9" s="549"/>
      <c r="J9" s="550">
        <v>0</v>
      </c>
      <c r="K9" s="254">
        <v>0</v>
      </c>
      <c r="L9" s="254">
        <v>0</v>
      </c>
      <c r="M9" s="254">
        <v>0</v>
      </c>
      <c r="N9" s="254">
        <v>0</v>
      </c>
      <c r="O9" s="254">
        <v>0</v>
      </c>
    </row>
    <row r="10" spans="1:15">
      <c r="A10" s="250">
        <v>6</v>
      </c>
      <c r="B10" s="251" t="s">
        <v>85</v>
      </c>
      <c r="C10" s="251">
        <v>67</v>
      </c>
      <c r="D10" s="252">
        <v>158.6</v>
      </c>
      <c r="E10" s="252">
        <v>67</v>
      </c>
      <c r="F10" s="252">
        <v>23</v>
      </c>
      <c r="G10" s="253">
        <f t="shared" si="0"/>
        <v>34.328358208955223</v>
      </c>
      <c r="H10" s="254">
        <f t="shared" si="1"/>
        <v>44</v>
      </c>
      <c r="I10" s="549"/>
      <c r="J10" s="550">
        <v>0</v>
      </c>
      <c r="K10" s="254">
        <v>0</v>
      </c>
      <c r="L10" s="254">
        <v>0</v>
      </c>
      <c r="M10" s="254">
        <v>0</v>
      </c>
      <c r="N10" s="254">
        <v>0</v>
      </c>
      <c r="O10" s="254">
        <v>0</v>
      </c>
    </row>
    <row r="11" spans="1:15">
      <c r="A11" s="250">
        <v>7</v>
      </c>
      <c r="B11" s="251" t="s">
        <v>17</v>
      </c>
      <c r="C11" s="251">
        <v>274</v>
      </c>
      <c r="D11" s="252">
        <v>427</v>
      </c>
      <c r="E11" s="252">
        <v>50</v>
      </c>
      <c r="F11" s="252">
        <v>10</v>
      </c>
      <c r="G11" s="253">
        <f t="shared" si="0"/>
        <v>20</v>
      </c>
      <c r="H11" s="254">
        <f t="shared" si="1"/>
        <v>40</v>
      </c>
      <c r="I11" s="549"/>
      <c r="J11" s="550">
        <v>0</v>
      </c>
      <c r="K11" s="254">
        <v>0</v>
      </c>
      <c r="L11" s="254">
        <v>0</v>
      </c>
      <c r="M11" s="254">
        <v>0</v>
      </c>
      <c r="N11" s="254">
        <v>0</v>
      </c>
      <c r="O11" s="254">
        <f>L11-M11</f>
        <v>0</v>
      </c>
    </row>
    <row r="12" spans="1:15">
      <c r="A12" s="250">
        <v>8</v>
      </c>
      <c r="B12" s="251" t="s">
        <v>26</v>
      </c>
      <c r="C12" s="251">
        <v>0</v>
      </c>
      <c r="D12" s="252">
        <v>0</v>
      </c>
      <c r="E12" s="252">
        <v>0</v>
      </c>
      <c r="F12" s="252">
        <v>0</v>
      </c>
      <c r="G12" s="253">
        <v>0</v>
      </c>
      <c r="H12" s="254">
        <f t="shared" si="1"/>
        <v>0</v>
      </c>
      <c r="I12" s="549"/>
      <c r="J12" s="550">
        <v>0</v>
      </c>
      <c r="K12" s="254">
        <v>0</v>
      </c>
      <c r="L12" s="254">
        <v>0</v>
      </c>
      <c r="M12" s="254">
        <v>0</v>
      </c>
      <c r="N12" s="254">
        <v>0</v>
      </c>
      <c r="O12" s="254">
        <v>0</v>
      </c>
    </row>
    <row r="13" spans="1:15">
      <c r="A13" s="250">
        <v>9</v>
      </c>
      <c r="B13" s="251" t="s">
        <v>11</v>
      </c>
      <c r="C13" s="251">
        <v>4</v>
      </c>
      <c r="D13" s="252">
        <v>7.12</v>
      </c>
      <c r="E13" s="252">
        <v>1.0000000000000001E-5</v>
      </c>
      <c r="F13" s="252">
        <v>0</v>
      </c>
      <c r="G13" s="253">
        <f t="shared" si="0"/>
        <v>0</v>
      </c>
      <c r="H13" s="254">
        <f t="shared" si="1"/>
        <v>1.0000000000000001E-5</v>
      </c>
      <c r="I13" s="549"/>
      <c r="J13" s="550">
        <v>0</v>
      </c>
      <c r="K13" s="254">
        <v>0</v>
      </c>
      <c r="L13" s="254">
        <v>0</v>
      </c>
      <c r="M13" s="254">
        <v>0</v>
      </c>
      <c r="N13" s="254">
        <v>0</v>
      </c>
      <c r="O13" s="254">
        <v>0</v>
      </c>
    </row>
    <row r="14" spans="1:15">
      <c r="A14" s="250">
        <v>10</v>
      </c>
      <c r="B14" s="251" t="s">
        <v>90</v>
      </c>
      <c r="C14" s="251">
        <v>9</v>
      </c>
      <c r="D14" s="252">
        <v>24.02</v>
      </c>
      <c r="E14" s="252">
        <v>30.4</v>
      </c>
      <c r="F14" s="252">
        <v>0</v>
      </c>
      <c r="G14" s="253">
        <f t="shared" si="0"/>
        <v>0</v>
      </c>
      <c r="H14" s="254">
        <f t="shared" si="1"/>
        <v>30.4</v>
      </c>
      <c r="I14" s="549"/>
      <c r="J14" s="550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</row>
    <row r="15" spans="1:15">
      <c r="A15" s="250">
        <v>11</v>
      </c>
      <c r="B15" s="251" t="s">
        <v>92</v>
      </c>
      <c r="C15" s="251">
        <v>22</v>
      </c>
      <c r="D15" s="252">
        <v>42.21</v>
      </c>
      <c r="E15" s="252">
        <v>42.21</v>
      </c>
      <c r="F15" s="252">
        <v>0</v>
      </c>
      <c r="G15" s="253">
        <f t="shared" si="0"/>
        <v>0</v>
      </c>
      <c r="H15" s="254">
        <f t="shared" si="1"/>
        <v>42.21</v>
      </c>
      <c r="I15" s="549"/>
      <c r="J15" s="550">
        <v>0</v>
      </c>
      <c r="K15" s="254">
        <v>0</v>
      </c>
      <c r="L15" s="254">
        <v>0</v>
      </c>
      <c r="M15" s="254">
        <v>0</v>
      </c>
      <c r="N15" s="254">
        <v>0</v>
      </c>
      <c r="O15" s="254">
        <v>0</v>
      </c>
    </row>
    <row r="16" spans="1:15">
      <c r="A16" s="250">
        <v>12</v>
      </c>
      <c r="B16" s="251" t="s">
        <v>51</v>
      </c>
      <c r="C16" s="251">
        <v>7</v>
      </c>
      <c r="D16" s="252">
        <v>14.96</v>
      </c>
      <c r="E16" s="252">
        <v>10.53</v>
      </c>
      <c r="F16" s="252">
        <v>0.09</v>
      </c>
      <c r="G16" s="253">
        <f>F16/E16%</f>
        <v>0.85470085470085477</v>
      </c>
      <c r="H16" s="254">
        <f>E16-F16</f>
        <v>10.44</v>
      </c>
      <c r="I16" s="549"/>
      <c r="J16" s="550">
        <v>0</v>
      </c>
      <c r="K16" s="254">
        <v>0</v>
      </c>
      <c r="L16" s="254">
        <v>0</v>
      </c>
      <c r="M16" s="254">
        <v>0</v>
      </c>
      <c r="N16" s="254">
        <v>0</v>
      </c>
      <c r="O16" s="254">
        <v>0</v>
      </c>
    </row>
    <row r="17" spans="1:15">
      <c r="A17" s="250">
        <v>13</v>
      </c>
      <c r="B17" s="251" t="s">
        <v>52</v>
      </c>
      <c r="C17" s="251">
        <v>8</v>
      </c>
      <c r="D17" s="252">
        <v>13.09</v>
      </c>
      <c r="E17" s="252">
        <v>10.14</v>
      </c>
      <c r="F17" s="252">
        <v>0.25</v>
      </c>
      <c r="G17" s="253">
        <f t="shared" ref="G17:G22" si="2">F17/E17%</f>
        <v>2.4654832347140037</v>
      </c>
      <c r="H17" s="254">
        <f t="shared" si="1"/>
        <v>9.89</v>
      </c>
      <c r="I17" s="549"/>
      <c r="J17" s="550">
        <v>0</v>
      </c>
      <c r="K17" s="254">
        <v>0</v>
      </c>
      <c r="L17" s="254">
        <v>0</v>
      </c>
      <c r="M17" s="254">
        <v>0</v>
      </c>
      <c r="N17" s="254">
        <v>0</v>
      </c>
      <c r="O17" s="254">
        <v>0</v>
      </c>
    </row>
    <row r="18" spans="1:15">
      <c r="A18" s="250">
        <v>14</v>
      </c>
      <c r="B18" s="251" t="s">
        <v>28</v>
      </c>
      <c r="C18" s="251">
        <v>10</v>
      </c>
      <c r="D18" s="252">
        <v>83.21</v>
      </c>
      <c r="E18" s="252">
        <v>3.02</v>
      </c>
      <c r="F18" s="252">
        <v>0.06</v>
      </c>
      <c r="G18" s="253">
        <f t="shared" si="2"/>
        <v>1.9867549668874172</v>
      </c>
      <c r="H18" s="254">
        <f t="shared" si="1"/>
        <v>2.96</v>
      </c>
      <c r="I18" s="549"/>
      <c r="J18" s="550">
        <v>0</v>
      </c>
      <c r="K18" s="254">
        <v>0</v>
      </c>
      <c r="L18" s="254">
        <v>0</v>
      </c>
      <c r="M18" s="254">
        <v>0</v>
      </c>
      <c r="N18" s="254">
        <v>0</v>
      </c>
      <c r="O18" s="254">
        <v>0</v>
      </c>
    </row>
    <row r="19" spans="1:15">
      <c r="A19" s="250">
        <v>15</v>
      </c>
      <c r="B19" s="251" t="s">
        <v>10</v>
      </c>
      <c r="C19" s="251">
        <v>1958</v>
      </c>
      <c r="D19" s="252">
        <v>4878.04</v>
      </c>
      <c r="E19" s="252">
        <v>2815.85</v>
      </c>
      <c r="F19" s="252">
        <v>10.11</v>
      </c>
      <c r="G19" s="253">
        <f t="shared" si="2"/>
        <v>0.35903901131097182</v>
      </c>
      <c r="H19" s="254">
        <v>2946.34</v>
      </c>
      <c r="I19" s="489"/>
      <c r="J19" s="550">
        <v>700</v>
      </c>
      <c r="K19" s="254">
        <v>1656.37</v>
      </c>
      <c r="L19" s="254">
        <v>1550</v>
      </c>
      <c r="M19" s="254">
        <v>51</v>
      </c>
      <c r="N19" s="254">
        <f>M19/L19%</f>
        <v>3.2903225806451615</v>
      </c>
      <c r="O19" s="254">
        <f>M19+L19</f>
        <v>1601</v>
      </c>
    </row>
    <row r="20" spans="1:15">
      <c r="A20" s="250">
        <v>16</v>
      </c>
      <c r="B20" s="251" t="s">
        <v>98</v>
      </c>
      <c r="C20" s="251">
        <v>22</v>
      </c>
      <c r="D20" s="252">
        <v>94.07</v>
      </c>
      <c r="E20" s="252">
        <v>2</v>
      </c>
      <c r="F20" s="252">
        <v>0</v>
      </c>
      <c r="G20" s="253">
        <f t="shared" si="2"/>
        <v>0</v>
      </c>
      <c r="H20" s="254">
        <f t="shared" si="1"/>
        <v>2</v>
      </c>
      <c r="I20" s="549"/>
      <c r="J20" s="550">
        <v>0</v>
      </c>
      <c r="K20" s="254">
        <v>0</v>
      </c>
      <c r="L20" s="254">
        <v>0</v>
      </c>
      <c r="M20" s="254">
        <v>0</v>
      </c>
      <c r="N20" s="254">
        <v>0</v>
      </c>
      <c r="O20" s="254">
        <v>0</v>
      </c>
    </row>
    <row r="21" spans="1:15">
      <c r="A21" s="250">
        <v>17</v>
      </c>
      <c r="B21" s="251" t="s">
        <v>35</v>
      </c>
      <c r="C21" s="251">
        <v>78</v>
      </c>
      <c r="D21" s="252">
        <v>307</v>
      </c>
      <c r="E21" s="252">
        <v>156.41</v>
      </c>
      <c r="F21" s="252">
        <v>1</v>
      </c>
      <c r="G21" s="253">
        <f t="shared" si="2"/>
        <v>0.63934531040214815</v>
      </c>
      <c r="H21" s="254">
        <f t="shared" si="1"/>
        <v>155.41</v>
      </c>
      <c r="I21" s="549"/>
      <c r="J21" s="550">
        <v>0</v>
      </c>
      <c r="K21" s="254">
        <v>0</v>
      </c>
      <c r="L21" s="254">
        <v>0</v>
      </c>
      <c r="M21" s="254">
        <v>0</v>
      </c>
      <c r="N21" s="254">
        <v>0</v>
      </c>
      <c r="O21" s="254">
        <f>L21-M21</f>
        <v>0</v>
      </c>
    </row>
    <row r="22" spans="1:15">
      <c r="A22" s="250">
        <v>18</v>
      </c>
      <c r="B22" s="251" t="s">
        <v>54</v>
      </c>
      <c r="C22" s="251">
        <v>31</v>
      </c>
      <c r="D22" s="252">
        <v>75.91</v>
      </c>
      <c r="E22" s="252">
        <v>25.85</v>
      </c>
      <c r="F22" s="252">
        <v>0</v>
      </c>
      <c r="G22" s="253">
        <f t="shared" si="2"/>
        <v>0</v>
      </c>
      <c r="H22" s="254">
        <f t="shared" si="1"/>
        <v>25.85</v>
      </c>
      <c r="I22" s="549"/>
      <c r="J22" s="550">
        <v>0</v>
      </c>
      <c r="K22" s="254">
        <v>0</v>
      </c>
      <c r="L22" s="254">
        <v>0</v>
      </c>
      <c r="M22" s="254">
        <v>0</v>
      </c>
      <c r="N22" s="254">
        <v>0</v>
      </c>
      <c r="O22" s="254">
        <f>L22-M22</f>
        <v>0</v>
      </c>
    </row>
    <row r="23" spans="1:15">
      <c r="A23" s="250">
        <v>19</v>
      </c>
      <c r="B23" s="251" t="s">
        <v>102</v>
      </c>
      <c r="C23" s="251">
        <v>21</v>
      </c>
      <c r="D23" s="252">
        <v>32.270000000000003</v>
      </c>
      <c r="E23" s="252">
        <v>28.97</v>
      </c>
      <c r="F23" s="252">
        <v>1.78</v>
      </c>
      <c r="G23" s="253">
        <f t="shared" si="0"/>
        <v>6.1442871936486014</v>
      </c>
      <c r="H23" s="254">
        <f t="shared" si="1"/>
        <v>27.189999999999998</v>
      </c>
      <c r="I23" s="549"/>
      <c r="J23" s="550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</row>
    <row r="24" spans="1:15">
      <c r="A24" s="250">
        <v>20</v>
      </c>
      <c r="B24" s="251" t="s">
        <v>104</v>
      </c>
      <c r="C24" s="251">
        <v>95</v>
      </c>
      <c r="D24" s="252">
        <v>216</v>
      </c>
      <c r="E24" s="252">
        <v>48</v>
      </c>
      <c r="F24" s="252">
        <v>0</v>
      </c>
      <c r="G24" s="253">
        <f t="shared" si="0"/>
        <v>0</v>
      </c>
      <c r="H24" s="254">
        <f t="shared" si="1"/>
        <v>48</v>
      </c>
      <c r="I24" s="549"/>
      <c r="J24" s="550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f>L24-M24</f>
        <v>0</v>
      </c>
    </row>
    <row r="25" spans="1:15">
      <c r="A25" s="250">
        <v>21</v>
      </c>
      <c r="B25" s="251" t="s">
        <v>106</v>
      </c>
      <c r="C25" s="251">
        <v>0</v>
      </c>
      <c r="D25" s="252">
        <v>0</v>
      </c>
      <c r="E25" s="252">
        <v>1.0000000000000001E-5</v>
      </c>
      <c r="F25" s="252">
        <v>0</v>
      </c>
      <c r="G25" s="253">
        <f t="shared" si="0"/>
        <v>0</v>
      </c>
      <c r="H25" s="254">
        <f t="shared" si="1"/>
        <v>1.0000000000000001E-5</v>
      </c>
      <c r="I25" s="549"/>
      <c r="J25" s="550">
        <v>0</v>
      </c>
      <c r="K25" s="254">
        <v>0</v>
      </c>
      <c r="L25" s="254">
        <v>0</v>
      </c>
      <c r="M25" s="254">
        <v>0</v>
      </c>
      <c r="N25" s="254">
        <v>0</v>
      </c>
      <c r="O25" s="254">
        <v>0</v>
      </c>
    </row>
    <row r="26" spans="1:15">
      <c r="A26" s="250">
        <v>22</v>
      </c>
      <c r="B26" s="251" t="s">
        <v>108</v>
      </c>
      <c r="C26" s="251">
        <v>0</v>
      </c>
      <c r="D26" s="252">
        <v>0</v>
      </c>
      <c r="E26" s="252">
        <v>0</v>
      </c>
      <c r="F26" s="252">
        <v>0</v>
      </c>
      <c r="G26" s="253">
        <v>0</v>
      </c>
      <c r="H26" s="254">
        <v>0</v>
      </c>
      <c r="I26" s="549"/>
      <c r="J26" s="550">
        <v>0</v>
      </c>
      <c r="K26" s="254">
        <v>0</v>
      </c>
      <c r="L26" s="254">
        <v>0</v>
      </c>
      <c r="M26" s="254">
        <v>0</v>
      </c>
      <c r="N26" s="254">
        <v>0</v>
      </c>
      <c r="O26" s="254">
        <v>0</v>
      </c>
    </row>
    <row r="27" spans="1:15">
      <c r="A27" s="250">
        <v>23</v>
      </c>
      <c r="B27" s="251" t="s">
        <v>294</v>
      </c>
      <c r="C27" s="251">
        <v>0</v>
      </c>
      <c r="D27" s="252">
        <v>0</v>
      </c>
      <c r="E27" s="252">
        <v>0</v>
      </c>
      <c r="F27" s="252">
        <v>0</v>
      </c>
      <c r="G27" s="253">
        <v>0</v>
      </c>
      <c r="H27" s="254">
        <v>0</v>
      </c>
      <c r="I27" s="549"/>
      <c r="J27" s="550">
        <v>0</v>
      </c>
      <c r="K27" s="254">
        <v>0</v>
      </c>
      <c r="L27" s="254">
        <v>0</v>
      </c>
      <c r="M27" s="254">
        <v>0</v>
      </c>
      <c r="N27" s="254">
        <v>0</v>
      </c>
      <c r="O27" s="254">
        <v>0</v>
      </c>
    </row>
    <row r="28" spans="1:15">
      <c r="A28" s="795" t="s">
        <v>113</v>
      </c>
      <c r="B28" s="796" t="s">
        <v>13</v>
      </c>
      <c r="C28" s="796">
        <f>SUM(C5:C27)</f>
        <v>2662</v>
      </c>
      <c r="D28" s="797">
        <f>SUM(D5:D27)</f>
        <v>6488.08</v>
      </c>
      <c r="E28" s="797">
        <f>SUM(E5:E27)</f>
        <v>3370.6100199999996</v>
      </c>
      <c r="F28" s="797">
        <f>SUM(F5:F27)</f>
        <v>48.290000000000006</v>
      </c>
      <c r="G28" s="858">
        <f>F28/E28%</f>
        <v>1.4326783494223403</v>
      </c>
      <c r="H28" s="803">
        <f>SUM(H5:H26)</f>
        <v>3462.92002</v>
      </c>
      <c r="I28" s="799"/>
      <c r="J28" s="802">
        <f>SUM(J5:J27)</f>
        <v>700</v>
      </c>
      <c r="K28" s="803">
        <f>SUM(K5:K27)</f>
        <v>1656.37</v>
      </c>
      <c r="L28" s="803">
        <f>SUM(L5:L27)</f>
        <v>1550</v>
      </c>
      <c r="M28" s="803">
        <f>SUM(M5:M27)</f>
        <v>51</v>
      </c>
      <c r="N28" s="803">
        <f>M28/L28%</f>
        <v>3.2903225806451615</v>
      </c>
      <c r="O28" s="803">
        <f>SUM(O5:O25)</f>
        <v>1601</v>
      </c>
    </row>
    <row r="29" spans="1:15">
      <c r="A29" s="250">
        <v>1</v>
      </c>
      <c r="B29" s="251" t="s">
        <v>16</v>
      </c>
      <c r="C29" s="251">
        <v>0</v>
      </c>
      <c r="D29" s="252">
        <v>0</v>
      </c>
      <c r="E29" s="252">
        <v>1.0000000000000001E-5</v>
      </c>
      <c r="F29" s="252">
        <v>0</v>
      </c>
      <c r="G29" s="253">
        <f>F29/E29%</f>
        <v>0</v>
      </c>
      <c r="H29" s="254">
        <f>E29-F29</f>
        <v>1.0000000000000001E-5</v>
      </c>
      <c r="I29" s="549"/>
      <c r="J29" s="550">
        <v>0</v>
      </c>
      <c r="K29" s="254">
        <v>0</v>
      </c>
      <c r="L29" s="254">
        <v>0</v>
      </c>
      <c r="M29" s="254">
        <v>0</v>
      </c>
      <c r="N29" s="254">
        <v>0</v>
      </c>
      <c r="O29" s="254">
        <v>0</v>
      </c>
    </row>
    <row r="30" spans="1:15">
      <c r="A30" s="250">
        <v>1</v>
      </c>
      <c r="B30" s="251" t="s">
        <v>110</v>
      </c>
      <c r="C30" s="251">
        <v>0</v>
      </c>
      <c r="D30" s="252">
        <v>0</v>
      </c>
      <c r="E30" s="252">
        <v>1.0000000000000001E-5</v>
      </c>
      <c r="F30" s="252">
        <v>0</v>
      </c>
      <c r="G30" s="253">
        <f>F30/E30%</f>
        <v>0</v>
      </c>
      <c r="H30" s="254">
        <f>E30-F30</f>
        <v>1.0000000000000001E-5</v>
      </c>
      <c r="I30" s="549"/>
      <c r="J30" s="550">
        <v>0</v>
      </c>
      <c r="K30" s="254">
        <v>0</v>
      </c>
      <c r="L30" s="254">
        <v>0</v>
      </c>
      <c r="M30" s="254">
        <v>0</v>
      </c>
      <c r="N30" s="254">
        <v>0</v>
      </c>
      <c r="O30" s="254">
        <v>0</v>
      </c>
    </row>
    <row r="31" spans="1:15">
      <c r="A31" s="795" t="s">
        <v>135</v>
      </c>
      <c r="B31" s="796" t="s">
        <v>13</v>
      </c>
      <c r="C31" s="796">
        <f>SUM(C28:C30)</f>
        <v>2662</v>
      </c>
      <c r="D31" s="797">
        <f>SUM(D28:D30)</f>
        <v>6488.08</v>
      </c>
      <c r="E31" s="797">
        <f>SUM(E28:E30)</f>
        <v>3370.61004</v>
      </c>
      <c r="F31" s="797">
        <f>SUM(F28:F30)</f>
        <v>48.290000000000006</v>
      </c>
      <c r="G31" s="858">
        <f>F31/E31%</f>
        <v>1.4326783409213368</v>
      </c>
      <c r="H31" s="803">
        <f>SUM(H28:H30)</f>
        <v>3462.9200400000004</v>
      </c>
      <c r="I31" s="799"/>
      <c r="J31" s="802">
        <f>SUM(J28:J30)</f>
        <v>700</v>
      </c>
      <c r="K31" s="803">
        <f>SUM(K28:K30)</f>
        <v>1656.37</v>
      </c>
      <c r="L31" s="803">
        <f>SUM(L28:L30)</f>
        <v>1550</v>
      </c>
      <c r="M31" s="803">
        <f>SUM(M28:M30)</f>
        <v>51</v>
      </c>
      <c r="N31" s="803">
        <f>M31/L31%</f>
        <v>3.2903225806451615</v>
      </c>
      <c r="O31" s="803">
        <f>SUM(O28:O30)</f>
        <v>1601</v>
      </c>
    </row>
    <row r="32" spans="1:15">
      <c r="A32" s="1598" t="s">
        <v>136</v>
      </c>
      <c r="B32" s="1599"/>
      <c r="C32" s="1599"/>
      <c r="D32" s="1599"/>
      <c r="E32" s="1599"/>
      <c r="F32" s="1599"/>
      <c r="G32" s="1599"/>
      <c r="H32" s="1253"/>
      <c r="I32" s="1308"/>
      <c r="J32" s="1600"/>
      <c r="K32" s="1600"/>
      <c r="L32" s="1600"/>
      <c r="M32" s="1600"/>
      <c r="N32" s="1600"/>
      <c r="O32" s="1253"/>
    </row>
    <row r="33" spans="1:15">
      <c r="A33" s="1309"/>
      <c r="B33" s="1310" t="s">
        <v>13</v>
      </c>
      <c r="C33" s="1311">
        <v>2671</v>
      </c>
      <c r="D33" s="1311">
        <v>6505.5</v>
      </c>
      <c r="E33" s="1311">
        <v>3325.18</v>
      </c>
      <c r="F33" s="1311">
        <v>47.69</v>
      </c>
      <c r="G33" s="1312">
        <v>1.43</v>
      </c>
      <c r="H33" s="1313">
        <v>3418.09</v>
      </c>
      <c r="I33" s="1314"/>
      <c r="J33" s="1315">
        <v>1112</v>
      </c>
      <c r="K33" s="1313">
        <v>2692</v>
      </c>
      <c r="L33" s="1313">
        <v>1696</v>
      </c>
      <c r="M33" s="1316">
        <v>57</v>
      </c>
      <c r="N33" s="1313">
        <v>3.36</v>
      </c>
      <c r="O33" s="1313">
        <v>1528</v>
      </c>
    </row>
  </sheetData>
  <mergeCells count="6">
    <mergeCell ref="A1:O1"/>
    <mergeCell ref="A2:H2"/>
    <mergeCell ref="J2:O2"/>
    <mergeCell ref="A3:O3"/>
    <mergeCell ref="A32:G32"/>
    <mergeCell ref="J32:N32"/>
  </mergeCells>
  <printOptions gridLines="1"/>
  <pageMargins left="0.7" right="0.7" top="0.75" bottom="0.75" header="0.3" footer="0.3"/>
  <pageSetup paperSize="9" scale="95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T12" sqref="T12"/>
    </sheetView>
  </sheetViews>
  <sheetFormatPr defaultRowHeight="15"/>
  <sheetData>
    <row r="1" spans="1:19" ht="15.75">
      <c r="A1" s="1482">
        <v>40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</row>
    <row r="2" spans="1:19" ht="15.75">
      <c r="A2" s="1483" t="s">
        <v>296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  <c r="M2" s="1483"/>
      <c r="N2" s="1483" t="s">
        <v>603</v>
      </c>
      <c r="O2" s="1483"/>
      <c r="P2" s="1483"/>
      <c r="Q2" s="1483"/>
      <c r="R2" s="1483"/>
      <c r="S2" s="1483"/>
    </row>
    <row r="3" spans="1:19" ht="15.75">
      <c r="A3" s="1483" t="s">
        <v>297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741"/>
      <c r="M3" s="741"/>
      <c r="N3" s="741"/>
      <c r="O3" s="238" t="s">
        <v>298</v>
      </c>
      <c r="P3" s="741"/>
      <c r="Q3" s="741"/>
      <c r="R3" s="741"/>
      <c r="S3" s="741"/>
    </row>
    <row r="4" spans="1:19" ht="36">
      <c r="A4" s="1317" t="s">
        <v>130</v>
      </c>
      <c r="B4" s="227" t="s">
        <v>131</v>
      </c>
      <c r="C4" s="227" t="s">
        <v>243</v>
      </c>
      <c r="D4" s="227" t="s">
        <v>245</v>
      </c>
      <c r="E4" s="227" t="s">
        <v>246</v>
      </c>
      <c r="F4" s="227" t="s">
        <v>247</v>
      </c>
      <c r="G4" s="227" t="s">
        <v>248</v>
      </c>
      <c r="H4" s="227" t="s">
        <v>249</v>
      </c>
      <c r="I4" s="227" t="s">
        <v>299</v>
      </c>
      <c r="J4" s="227" t="s">
        <v>300</v>
      </c>
      <c r="K4" s="227" t="s">
        <v>252</v>
      </c>
      <c r="L4" s="741"/>
      <c r="M4" s="1039" t="s">
        <v>253</v>
      </c>
      <c r="N4" s="1039" t="s">
        <v>243</v>
      </c>
      <c r="O4" s="1039" t="s">
        <v>301</v>
      </c>
      <c r="P4" s="1605" t="s">
        <v>255</v>
      </c>
      <c r="Q4" s="1605"/>
      <c r="R4" s="1605" t="s">
        <v>256</v>
      </c>
      <c r="S4" s="1605"/>
    </row>
    <row r="5" spans="1:19">
      <c r="A5" s="1318">
        <v>1</v>
      </c>
      <c r="B5" s="1319" t="s">
        <v>78</v>
      </c>
      <c r="C5" s="1320"/>
      <c r="D5" s="1320">
        <v>0</v>
      </c>
      <c r="E5" s="1320">
        <v>0</v>
      </c>
      <c r="F5" s="1321">
        <v>0</v>
      </c>
      <c r="G5" s="1322">
        <v>0</v>
      </c>
      <c r="H5" s="1321">
        <v>0</v>
      </c>
      <c r="I5" s="1323">
        <v>0</v>
      </c>
      <c r="J5" s="1324">
        <v>0</v>
      </c>
      <c r="K5" s="1320">
        <v>0</v>
      </c>
      <c r="L5" s="242"/>
      <c r="M5" s="134"/>
      <c r="N5" s="134"/>
      <c r="O5" s="134"/>
      <c r="P5" s="134" t="s">
        <v>257</v>
      </c>
      <c r="Q5" s="134" t="s">
        <v>258</v>
      </c>
      <c r="R5" s="134" t="s">
        <v>302</v>
      </c>
      <c r="S5" s="134" t="s">
        <v>258</v>
      </c>
    </row>
    <row r="6" spans="1:19">
      <c r="A6" s="1325">
        <v>2</v>
      </c>
      <c r="B6" s="1326" t="s">
        <v>27</v>
      </c>
      <c r="C6" s="1327"/>
      <c r="D6" s="1327">
        <v>0</v>
      </c>
      <c r="E6" s="1327">
        <v>0</v>
      </c>
      <c r="F6" s="1328">
        <v>0</v>
      </c>
      <c r="G6" s="1323">
        <v>0</v>
      </c>
      <c r="H6" s="1328">
        <v>0</v>
      </c>
      <c r="I6" s="1323">
        <v>0</v>
      </c>
      <c r="J6" s="1324">
        <v>0</v>
      </c>
      <c r="K6" s="1327">
        <v>0</v>
      </c>
      <c r="L6" s="240"/>
      <c r="M6" s="137" t="s">
        <v>40</v>
      </c>
      <c r="N6" s="137"/>
      <c r="O6" s="137"/>
      <c r="P6" s="137"/>
      <c r="Q6" s="203"/>
      <c r="R6" s="137"/>
      <c r="S6" s="203"/>
    </row>
    <row r="7" spans="1:19">
      <c r="A7" s="1325">
        <v>3</v>
      </c>
      <c r="B7" s="1326" t="s">
        <v>46</v>
      </c>
      <c r="C7" s="1327"/>
      <c r="D7" s="1327">
        <v>0</v>
      </c>
      <c r="E7" s="1327">
        <v>0</v>
      </c>
      <c r="F7" s="1328">
        <v>0</v>
      </c>
      <c r="G7" s="1323">
        <v>0</v>
      </c>
      <c r="H7" s="1328">
        <v>0</v>
      </c>
      <c r="I7" s="1323">
        <v>0</v>
      </c>
      <c r="J7" s="1324">
        <v>0</v>
      </c>
      <c r="K7" s="1327">
        <v>0</v>
      </c>
      <c r="L7" s="240"/>
      <c r="M7" s="137" t="s">
        <v>70</v>
      </c>
      <c r="N7" s="137"/>
      <c r="O7" s="137"/>
      <c r="P7" s="137"/>
      <c r="Q7" s="203"/>
      <c r="R7" s="137"/>
      <c r="S7" s="203"/>
    </row>
    <row r="8" spans="1:19">
      <c r="A8" s="1325">
        <v>4</v>
      </c>
      <c r="B8" s="1326" t="s">
        <v>32</v>
      </c>
      <c r="C8" s="1327"/>
      <c r="D8" s="1327">
        <v>0</v>
      </c>
      <c r="E8" s="1327">
        <v>0</v>
      </c>
      <c r="F8" s="1328">
        <v>0</v>
      </c>
      <c r="G8" s="1323">
        <v>0</v>
      </c>
      <c r="H8" s="1328">
        <v>0</v>
      </c>
      <c r="I8" s="1323">
        <v>0</v>
      </c>
      <c r="J8" s="1324">
        <v>0</v>
      </c>
      <c r="K8" s="1327">
        <v>0</v>
      </c>
      <c r="L8" s="240"/>
      <c r="M8" s="137" t="s">
        <v>38</v>
      </c>
      <c r="N8" s="137"/>
      <c r="O8" s="137"/>
      <c r="P8" s="137"/>
      <c r="Q8" s="203"/>
      <c r="R8" s="137"/>
      <c r="S8" s="203"/>
    </row>
    <row r="9" spans="1:19">
      <c r="A9" s="1329">
        <v>5</v>
      </c>
      <c r="B9" s="1330" t="s">
        <v>83</v>
      </c>
      <c r="C9" s="1327"/>
      <c r="D9" s="1327">
        <v>0</v>
      </c>
      <c r="E9" s="1327">
        <v>0</v>
      </c>
      <c r="F9" s="1328">
        <v>0</v>
      </c>
      <c r="G9" s="1323">
        <v>0</v>
      </c>
      <c r="H9" s="1328">
        <v>0</v>
      </c>
      <c r="I9" s="1323">
        <v>0</v>
      </c>
      <c r="J9" s="1324">
        <v>0</v>
      </c>
      <c r="K9" s="1327">
        <v>0</v>
      </c>
      <c r="L9" s="242"/>
      <c r="M9" s="134" t="s">
        <v>33</v>
      </c>
      <c r="N9" s="134"/>
      <c r="O9" s="134"/>
      <c r="P9" s="134"/>
      <c r="Q9" s="201"/>
      <c r="R9" s="134"/>
      <c r="S9" s="201"/>
    </row>
    <row r="10" spans="1:19">
      <c r="A10" s="1325">
        <v>6</v>
      </c>
      <c r="B10" s="1326" t="s">
        <v>85</v>
      </c>
      <c r="C10" s="1327"/>
      <c r="D10" s="1327">
        <v>15</v>
      </c>
      <c r="E10" s="1327">
        <v>15</v>
      </c>
      <c r="F10" s="1328">
        <v>7.02</v>
      </c>
      <c r="G10" s="1323">
        <v>15</v>
      </c>
      <c r="H10" s="1328">
        <v>7.02</v>
      </c>
      <c r="I10" s="1323">
        <v>0</v>
      </c>
      <c r="J10" s="1324">
        <v>0</v>
      </c>
      <c r="K10" s="1327">
        <v>0</v>
      </c>
      <c r="L10" s="240"/>
      <c r="M10" s="137" t="s">
        <v>37</v>
      </c>
      <c r="N10" s="137"/>
      <c r="O10" s="137"/>
      <c r="P10" s="137"/>
      <c r="Q10" s="203"/>
      <c r="R10" s="137"/>
      <c r="S10" s="203"/>
    </row>
    <row r="11" spans="1:19">
      <c r="A11" s="1325">
        <v>7</v>
      </c>
      <c r="B11" s="1326" t="s">
        <v>17</v>
      </c>
      <c r="C11" s="1327"/>
      <c r="D11" s="1327">
        <v>5</v>
      </c>
      <c r="E11" s="1327">
        <v>1</v>
      </c>
      <c r="F11" s="1328">
        <v>0.8</v>
      </c>
      <c r="G11" s="1323">
        <v>1</v>
      </c>
      <c r="H11" s="1328">
        <v>0.8</v>
      </c>
      <c r="I11" s="1323">
        <v>0</v>
      </c>
      <c r="J11" s="1324">
        <v>0</v>
      </c>
      <c r="K11" s="1327">
        <v>0</v>
      </c>
      <c r="L11" s="240"/>
      <c r="M11" s="137" t="s">
        <v>30</v>
      </c>
      <c r="N11" s="137"/>
      <c r="O11" s="137"/>
      <c r="P11" s="137"/>
      <c r="Q11" s="203"/>
      <c r="R11" s="137"/>
      <c r="S11" s="203"/>
    </row>
    <row r="12" spans="1:19">
      <c r="A12" s="1329">
        <v>8</v>
      </c>
      <c r="B12" s="1330" t="s">
        <v>26</v>
      </c>
      <c r="C12" s="1327"/>
      <c r="D12" s="1327">
        <v>0</v>
      </c>
      <c r="E12" s="1327">
        <v>0</v>
      </c>
      <c r="F12" s="1328">
        <v>0</v>
      </c>
      <c r="G12" s="1323">
        <v>0</v>
      </c>
      <c r="H12" s="1328">
        <v>0</v>
      </c>
      <c r="I12" s="1323">
        <v>0</v>
      </c>
      <c r="J12" s="1324">
        <v>0</v>
      </c>
      <c r="K12" s="1327">
        <v>0</v>
      </c>
      <c r="L12" s="240"/>
      <c r="M12" s="137" t="s">
        <v>303</v>
      </c>
      <c r="N12" s="137"/>
      <c r="O12" s="137"/>
      <c r="P12" s="137"/>
      <c r="Q12" s="203"/>
      <c r="R12" s="137"/>
      <c r="S12" s="203"/>
    </row>
    <row r="13" spans="1:19">
      <c r="A13" s="1325">
        <v>9</v>
      </c>
      <c r="B13" s="1326" t="s">
        <v>11</v>
      </c>
      <c r="C13" s="1327"/>
      <c r="D13" s="1327">
        <v>0</v>
      </c>
      <c r="E13" s="1327">
        <v>0</v>
      </c>
      <c r="F13" s="1328">
        <v>0</v>
      </c>
      <c r="G13" s="1323">
        <v>0</v>
      </c>
      <c r="H13" s="1328">
        <v>0</v>
      </c>
      <c r="I13" s="1323">
        <v>0</v>
      </c>
      <c r="J13" s="1324">
        <v>0</v>
      </c>
      <c r="K13" s="1327">
        <v>0</v>
      </c>
      <c r="L13" s="240"/>
      <c r="M13" s="137" t="s">
        <v>25</v>
      </c>
      <c r="N13" s="137"/>
      <c r="O13" s="137">
        <v>0</v>
      </c>
      <c r="P13" s="137">
        <v>0</v>
      </c>
      <c r="Q13" s="203">
        <v>0</v>
      </c>
      <c r="R13" s="137">
        <v>0</v>
      </c>
      <c r="S13" s="203">
        <v>0</v>
      </c>
    </row>
    <row r="14" spans="1:19">
      <c r="A14" s="1325">
        <v>10</v>
      </c>
      <c r="B14" s="1326" t="s">
        <v>90</v>
      </c>
      <c r="C14" s="1327"/>
      <c r="D14" s="1327">
        <v>0</v>
      </c>
      <c r="E14" s="1327">
        <v>0</v>
      </c>
      <c r="F14" s="1328">
        <v>0</v>
      </c>
      <c r="G14" s="1323">
        <v>0</v>
      </c>
      <c r="H14" s="1328">
        <v>0</v>
      </c>
      <c r="I14" s="1323">
        <v>0</v>
      </c>
      <c r="J14" s="1324">
        <v>0</v>
      </c>
      <c r="K14" s="1327">
        <v>0</v>
      </c>
      <c r="L14" s="240"/>
      <c r="M14" s="137" t="s">
        <v>21</v>
      </c>
      <c r="N14" s="137"/>
      <c r="O14" s="137"/>
      <c r="P14" s="137"/>
      <c r="Q14" s="203"/>
      <c r="R14" s="137"/>
      <c r="S14" s="203"/>
    </row>
    <row r="15" spans="1:19">
      <c r="A15" s="1325">
        <v>11</v>
      </c>
      <c r="B15" s="1326" t="s">
        <v>92</v>
      </c>
      <c r="C15" s="1327"/>
      <c r="D15" s="1327">
        <v>27</v>
      </c>
      <c r="E15" s="1327">
        <v>27</v>
      </c>
      <c r="F15" s="1328">
        <v>18.68</v>
      </c>
      <c r="G15" s="1331">
        <v>27</v>
      </c>
      <c r="H15" s="1328">
        <v>18.68</v>
      </c>
      <c r="I15" s="1331">
        <v>0</v>
      </c>
      <c r="J15" s="1324">
        <v>0</v>
      </c>
      <c r="K15" s="1327">
        <v>0</v>
      </c>
      <c r="L15" s="240"/>
      <c r="M15" s="137" t="s">
        <v>20</v>
      </c>
      <c r="N15" s="137"/>
      <c r="O15" s="137"/>
      <c r="P15" s="137"/>
      <c r="Q15" s="203"/>
      <c r="R15" s="137"/>
      <c r="S15" s="203"/>
    </row>
    <row r="16" spans="1:19">
      <c r="A16" s="1325">
        <v>12</v>
      </c>
      <c r="B16" s="1326" t="s">
        <v>51</v>
      </c>
      <c r="C16" s="1327"/>
      <c r="D16" s="1327">
        <v>0</v>
      </c>
      <c r="E16" s="1327">
        <v>0</v>
      </c>
      <c r="F16" s="1328">
        <v>0</v>
      </c>
      <c r="G16" s="1323">
        <v>0</v>
      </c>
      <c r="H16" s="1328">
        <v>0</v>
      </c>
      <c r="I16" s="1323">
        <v>0</v>
      </c>
      <c r="J16" s="1324">
        <v>0</v>
      </c>
      <c r="K16" s="1327">
        <v>0</v>
      </c>
      <c r="L16" s="240"/>
      <c r="M16" s="137" t="s">
        <v>15</v>
      </c>
      <c r="N16" s="137"/>
      <c r="O16" s="137"/>
      <c r="P16" s="137"/>
      <c r="Q16" s="203"/>
      <c r="R16" s="137"/>
      <c r="S16" s="203"/>
    </row>
    <row r="17" spans="1:19">
      <c r="A17" s="1325">
        <v>13</v>
      </c>
      <c r="B17" s="1326" t="s">
        <v>52</v>
      </c>
      <c r="C17" s="1327"/>
      <c r="D17" s="1327">
        <v>1</v>
      </c>
      <c r="E17" s="1327">
        <v>1</v>
      </c>
      <c r="F17" s="1328">
        <v>1.18</v>
      </c>
      <c r="G17" s="1323">
        <v>1</v>
      </c>
      <c r="H17" s="1328">
        <v>1.18</v>
      </c>
      <c r="I17" s="1323">
        <v>0</v>
      </c>
      <c r="J17" s="1324">
        <v>0</v>
      </c>
      <c r="K17" s="1327">
        <v>0</v>
      </c>
      <c r="L17" s="240"/>
      <c r="M17" s="137" t="s">
        <v>18</v>
      </c>
      <c r="N17" s="137"/>
      <c r="O17" s="137">
        <v>0</v>
      </c>
      <c r="P17" s="137">
        <v>0</v>
      </c>
      <c r="Q17" s="203">
        <v>0</v>
      </c>
      <c r="R17" s="137">
        <v>0</v>
      </c>
      <c r="S17" s="203">
        <v>0</v>
      </c>
    </row>
    <row r="18" spans="1:19">
      <c r="A18" s="1325">
        <v>14</v>
      </c>
      <c r="B18" s="1326" t="s">
        <v>28</v>
      </c>
      <c r="C18" s="1327"/>
      <c r="D18" s="1327">
        <v>13</v>
      </c>
      <c r="E18" s="1327">
        <v>13</v>
      </c>
      <c r="F18" s="1328">
        <v>5.85</v>
      </c>
      <c r="G18" s="1323">
        <v>0</v>
      </c>
      <c r="H18" s="1328">
        <v>0</v>
      </c>
      <c r="I18" s="1323">
        <v>0</v>
      </c>
      <c r="J18" s="1324">
        <v>0</v>
      </c>
      <c r="K18" s="1327">
        <v>0</v>
      </c>
      <c r="L18" s="240"/>
      <c r="M18" s="137" t="s">
        <v>2</v>
      </c>
      <c r="N18" s="137"/>
      <c r="O18" s="137"/>
      <c r="P18" s="137"/>
      <c r="Q18" s="203"/>
      <c r="R18" s="137"/>
      <c r="S18" s="203"/>
    </row>
    <row r="19" spans="1:19">
      <c r="A19" s="1329">
        <v>15</v>
      </c>
      <c r="B19" s="1330" t="s">
        <v>10</v>
      </c>
      <c r="C19" s="1327"/>
      <c r="D19" s="1327">
        <v>25</v>
      </c>
      <c r="E19" s="1327">
        <v>25</v>
      </c>
      <c r="F19" s="1328">
        <v>25.28</v>
      </c>
      <c r="G19" s="1323">
        <v>25</v>
      </c>
      <c r="H19" s="1328">
        <v>25.28</v>
      </c>
      <c r="I19" s="1323">
        <v>0</v>
      </c>
      <c r="J19" s="1324">
        <v>0</v>
      </c>
      <c r="K19" s="1327">
        <v>0</v>
      </c>
      <c r="L19" s="240"/>
      <c r="M19" s="137" t="s">
        <v>43</v>
      </c>
      <c r="N19" s="137"/>
      <c r="O19" s="137"/>
      <c r="P19" s="137"/>
      <c r="Q19" s="203"/>
      <c r="R19" s="137"/>
      <c r="S19" s="203"/>
    </row>
    <row r="20" spans="1:19">
      <c r="A20" s="1325">
        <v>16</v>
      </c>
      <c r="B20" s="1326" t="s">
        <v>98</v>
      </c>
      <c r="C20" s="1327"/>
      <c r="D20" s="1327">
        <v>0</v>
      </c>
      <c r="E20" s="1327">
        <v>0</v>
      </c>
      <c r="F20" s="1328">
        <v>0</v>
      </c>
      <c r="G20" s="1323">
        <v>0</v>
      </c>
      <c r="H20" s="1328">
        <v>0</v>
      </c>
      <c r="I20" s="1323">
        <v>0</v>
      </c>
      <c r="J20" s="1324">
        <v>0</v>
      </c>
      <c r="K20" s="1327">
        <v>0</v>
      </c>
      <c r="L20" s="240"/>
      <c r="M20" s="137" t="s">
        <v>42</v>
      </c>
      <c r="N20" s="137"/>
      <c r="O20" s="137"/>
      <c r="P20" s="137"/>
      <c r="Q20" s="203"/>
      <c r="R20" s="137"/>
      <c r="S20" s="203"/>
    </row>
    <row r="21" spans="1:19">
      <c r="A21" s="1325">
        <v>17</v>
      </c>
      <c r="B21" s="1326" t="s">
        <v>35</v>
      </c>
      <c r="C21" s="1327"/>
      <c r="D21" s="1327">
        <v>1</v>
      </c>
      <c r="E21" s="1327">
        <v>1</v>
      </c>
      <c r="F21" s="1328">
        <v>1.5</v>
      </c>
      <c r="G21" s="1323">
        <v>1</v>
      </c>
      <c r="H21" s="1328">
        <v>1.5</v>
      </c>
      <c r="I21" s="1323">
        <v>0</v>
      </c>
      <c r="J21" s="1324">
        <v>0</v>
      </c>
      <c r="K21" s="1327">
        <v>0</v>
      </c>
      <c r="L21" s="240"/>
      <c r="M21" s="137" t="s">
        <v>41</v>
      </c>
      <c r="N21" s="137"/>
      <c r="O21" s="137"/>
      <c r="P21" s="137"/>
      <c r="Q21" s="203"/>
      <c r="R21" s="137"/>
      <c r="S21" s="203"/>
    </row>
    <row r="22" spans="1:19">
      <c r="A22" s="1325">
        <v>18</v>
      </c>
      <c r="B22" s="1326" t="s">
        <v>54</v>
      </c>
      <c r="C22" s="1327"/>
      <c r="D22" s="1327">
        <v>0</v>
      </c>
      <c r="E22" s="1327">
        <v>0</v>
      </c>
      <c r="F22" s="1328">
        <v>0</v>
      </c>
      <c r="G22" s="1323">
        <v>0</v>
      </c>
      <c r="H22" s="1328">
        <v>0</v>
      </c>
      <c r="I22" s="1323">
        <v>0</v>
      </c>
      <c r="J22" s="1324">
        <v>0</v>
      </c>
      <c r="K22" s="1327">
        <v>0</v>
      </c>
      <c r="L22" s="240"/>
      <c r="M22" s="137" t="s">
        <v>304</v>
      </c>
      <c r="N22" s="137"/>
      <c r="O22" s="137">
        <v>0</v>
      </c>
      <c r="P22" s="137">
        <v>0</v>
      </c>
      <c r="Q22" s="203">
        <v>0</v>
      </c>
      <c r="R22" s="137">
        <v>0</v>
      </c>
      <c r="S22" s="203">
        <v>0</v>
      </c>
    </row>
    <row r="23" spans="1:19">
      <c r="A23" s="1325">
        <v>19</v>
      </c>
      <c r="B23" s="1326" t="s">
        <v>102</v>
      </c>
      <c r="C23" s="1327"/>
      <c r="D23" s="1327">
        <v>0</v>
      </c>
      <c r="E23" s="1327">
        <v>0</v>
      </c>
      <c r="F23" s="1328">
        <v>0</v>
      </c>
      <c r="G23" s="1323">
        <v>0</v>
      </c>
      <c r="H23" s="1328">
        <v>0</v>
      </c>
      <c r="I23" s="1323">
        <v>0</v>
      </c>
      <c r="J23" s="1324">
        <v>0</v>
      </c>
      <c r="K23" s="1327">
        <v>0</v>
      </c>
      <c r="L23" s="240"/>
      <c r="M23" s="1332" t="s">
        <v>13</v>
      </c>
      <c r="N23" s="1332"/>
      <c r="O23" s="1332">
        <f>SUM(O6:O22)</f>
        <v>0</v>
      </c>
      <c r="P23" s="1332">
        <f>SUM(P6:P22)</f>
        <v>0</v>
      </c>
      <c r="Q23" s="151">
        <f>SUM(Q6:Q22)</f>
        <v>0</v>
      </c>
      <c r="R23" s="1332">
        <f>SUM(R6:R22)</f>
        <v>0</v>
      </c>
      <c r="S23" s="151">
        <f>SUM(S6:S22)</f>
        <v>0</v>
      </c>
    </row>
    <row r="24" spans="1:19">
      <c r="A24" s="1325">
        <v>20</v>
      </c>
      <c r="B24" s="1326" t="s">
        <v>104</v>
      </c>
      <c r="C24" s="1327"/>
      <c r="D24" s="1327">
        <v>5</v>
      </c>
      <c r="E24" s="1327">
        <v>5</v>
      </c>
      <c r="F24" s="1328">
        <v>3</v>
      </c>
      <c r="G24" s="1323">
        <v>5</v>
      </c>
      <c r="H24" s="1328">
        <v>3</v>
      </c>
      <c r="I24" s="1323">
        <v>0</v>
      </c>
      <c r="J24" s="1324">
        <v>0</v>
      </c>
      <c r="K24" s="1327">
        <v>0</v>
      </c>
      <c r="L24" s="240"/>
      <c r="M24" s="240"/>
      <c r="N24" s="240"/>
      <c r="O24" s="240"/>
      <c r="P24" s="240"/>
      <c r="Q24" s="240"/>
      <c r="R24" s="240"/>
      <c r="S24" s="240"/>
    </row>
    <row r="25" spans="1:19">
      <c r="A25" s="1325">
        <v>21</v>
      </c>
      <c r="B25" s="1326" t="s">
        <v>106</v>
      </c>
      <c r="C25" s="1327"/>
      <c r="D25" s="1327">
        <v>0</v>
      </c>
      <c r="E25" s="1327">
        <v>0</v>
      </c>
      <c r="F25" s="1328">
        <v>0</v>
      </c>
      <c r="G25" s="1323">
        <v>0</v>
      </c>
      <c r="H25" s="1328">
        <v>0</v>
      </c>
      <c r="I25" s="1323">
        <v>0</v>
      </c>
      <c r="J25" s="1324">
        <v>0</v>
      </c>
      <c r="K25" s="1327">
        <v>0</v>
      </c>
      <c r="L25" s="240"/>
      <c r="M25" s="240"/>
      <c r="N25" s="240"/>
      <c r="O25" s="240"/>
      <c r="P25" s="240"/>
      <c r="Q25" s="240"/>
      <c r="R25" s="240"/>
      <c r="S25" s="240"/>
    </row>
    <row r="26" spans="1:19">
      <c r="A26" s="1333">
        <v>22</v>
      </c>
      <c r="B26" s="1326" t="s">
        <v>108</v>
      </c>
      <c r="C26" s="1320"/>
      <c r="D26" s="1320">
        <v>0</v>
      </c>
      <c r="E26" s="1320">
        <v>0</v>
      </c>
      <c r="F26" s="1321">
        <v>0</v>
      </c>
      <c r="G26" s="1322">
        <v>0</v>
      </c>
      <c r="H26" s="1321">
        <v>0</v>
      </c>
      <c r="I26" s="1322">
        <v>0</v>
      </c>
      <c r="J26" s="1324">
        <v>0</v>
      </c>
      <c r="K26" s="1320">
        <v>0</v>
      </c>
      <c r="L26" s="240"/>
      <c r="M26" s="240"/>
      <c r="N26" s="240"/>
      <c r="O26" s="240"/>
      <c r="P26" s="240"/>
      <c r="Q26" s="240"/>
      <c r="R26" s="240"/>
      <c r="S26" s="240"/>
    </row>
    <row r="27" spans="1:19">
      <c r="A27" s="1601" t="s">
        <v>205</v>
      </c>
      <c r="B27" s="1602"/>
      <c r="C27" s="1334"/>
      <c r="D27" s="1334">
        <f t="shared" ref="D27:K27" si="0">SUM(D5:D26)</f>
        <v>92</v>
      </c>
      <c r="E27" s="1334">
        <f t="shared" si="0"/>
        <v>88</v>
      </c>
      <c r="F27" s="1335">
        <f t="shared" si="0"/>
        <v>63.31</v>
      </c>
      <c r="G27" s="1334">
        <f t="shared" si="0"/>
        <v>75</v>
      </c>
      <c r="H27" s="1334">
        <f t="shared" si="0"/>
        <v>57.46</v>
      </c>
      <c r="I27" s="1334">
        <f t="shared" si="0"/>
        <v>0</v>
      </c>
      <c r="J27" s="1334">
        <f t="shared" si="0"/>
        <v>0</v>
      </c>
      <c r="K27" s="1334">
        <f t="shared" si="0"/>
        <v>0</v>
      </c>
      <c r="L27" s="240"/>
      <c r="M27" s="240"/>
      <c r="N27" s="240"/>
      <c r="O27" s="240"/>
      <c r="P27" s="240"/>
      <c r="Q27" s="240"/>
      <c r="R27" s="240"/>
      <c r="S27" s="240"/>
    </row>
    <row r="28" spans="1:19">
      <c r="A28" s="1336">
        <v>1</v>
      </c>
      <c r="B28" s="1337" t="s">
        <v>16</v>
      </c>
      <c r="C28" s="1320"/>
      <c r="D28" s="1320">
        <v>56</v>
      </c>
      <c r="E28" s="1324">
        <v>56</v>
      </c>
      <c r="F28" s="1321">
        <v>14.24</v>
      </c>
      <c r="G28" s="1338">
        <v>56</v>
      </c>
      <c r="H28" s="1321">
        <v>14.24</v>
      </c>
      <c r="I28" s="1322">
        <v>0</v>
      </c>
      <c r="J28" s="1320">
        <v>0</v>
      </c>
      <c r="K28" s="1320">
        <v>0</v>
      </c>
      <c r="L28" s="240"/>
      <c r="M28" s="240"/>
      <c r="N28" s="240"/>
      <c r="O28" s="240"/>
      <c r="P28" s="240"/>
      <c r="Q28" s="240"/>
      <c r="R28" s="240"/>
      <c r="S28" s="240"/>
    </row>
    <row r="29" spans="1:19">
      <c r="A29" s="1325">
        <v>1</v>
      </c>
      <c r="B29" s="1326" t="s">
        <v>110</v>
      </c>
      <c r="C29" s="1327"/>
      <c r="D29" s="1327">
        <v>2</v>
      </c>
      <c r="E29" s="1327">
        <v>2</v>
      </c>
      <c r="F29" s="1328">
        <v>2</v>
      </c>
      <c r="G29" s="1323">
        <v>2</v>
      </c>
      <c r="H29" s="1328">
        <v>2</v>
      </c>
      <c r="I29" s="1323">
        <v>0</v>
      </c>
      <c r="J29" s="1327">
        <v>0</v>
      </c>
      <c r="K29" s="1327">
        <v>0</v>
      </c>
      <c r="L29" s="240"/>
      <c r="M29" s="240"/>
      <c r="N29" s="240"/>
      <c r="O29" s="240"/>
      <c r="P29" s="240"/>
      <c r="Q29" s="240"/>
      <c r="R29" s="240"/>
      <c r="S29" s="240"/>
    </row>
    <row r="30" spans="1:19">
      <c r="A30" s="1603" t="s">
        <v>206</v>
      </c>
      <c r="B30" s="1604"/>
      <c r="C30" s="1339"/>
      <c r="D30" s="1339">
        <f t="shared" ref="D30:K30" si="1">SUM(D27:D29)</f>
        <v>150</v>
      </c>
      <c r="E30" s="1339">
        <f t="shared" si="1"/>
        <v>146</v>
      </c>
      <c r="F30" s="1340">
        <f t="shared" si="1"/>
        <v>79.55</v>
      </c>
      <c r="G30" s="1339">
        <f t="shared" si="1"/>
        <v>133</v>
      </c>
      <c r="H30" s="1340">
        <f t="shared" si="1"/>
        <v>73.7</v>
      </c>
      <c r="I30" s="1339">
        <f t="shared" si="1"/>
        <v>0</v>
      </c>
      <c r="J30" s="1339">
        <f t="shared" si="1"/>
        <v>0</v>
      </c>
      <c r="K30" s="1339">
        <f t="shared" si="1"/>
        <v>0</v>
      </c>
      <c r="L30" s="240"/>
      <c r="M30" s="240"/>
      <c r="N30" s="240"/>
      <c r="O30" s="240"/>
      <c r="P30" s="240"/>
      <c r="Q30" s="240"/>
      <c r="R30" s="240"/>
      <c r="S30" s="240"/>
    </row>
    <row r="31" spans="1:19">
      <c r="A31" s="1547" t="s">
        <v>305</v>
      </c>
      <c r="B31" s="1547"/>
      <c r="C31" s="767"/>
      <c r="D31" s="767">
        <v>92</v>
      </c>
      <c r="E31" s="1341">
        <v>88</v>
      </c>
      <c r="F31" s="754">
        <v>60.08</v>
      </c>
      <c r="G31" s="1341">
        <v>88</v>
      </c>
      <c r="H31" s="754">
        <v>60.08</v>
      </c>
      <c r="I31" s="767"/>
      <c r="J31" s="767"/>
      <c r="K31" s="767"/>
      <c r="L31" s="240"/>
      <c r="M31" s="240"/>
      <c r="N31" s="240"/>
      <c r="O31" s="240"/>
      <c r="P31" s="240"/>
      <c r="Q31" s="240"/>
      <c r="R31" s="240"/>
      <c r="S31" s="240"/>
    </row>
  </sheetData>
  <mergeCells count="9">
    <mergeCell ref="A27:B27"/>
    <mergeCell ref="A30:B30"/>
    <mergeCell ref="A31:B31"/>
    <mergeCell ref="A1:S1"/>
    <mergeCell ref="A2:M2"/>
    <mergeCell ref="N2:S2"/>
    <mergeCell ref="A3:K3"/>
    <mergeCell ref="P4:Q4"/>
    <mergeCell ref="R4:S4"/>
  </mergeCells>
  <printOptions gridLines="1"/>
  <pageMargins left="0.7" right="0.7" top="0.75" bottom="0.75" header="0.3" footer="0.3"/>
  <pageSetup paperSize="9" scale="7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T11" sqref="T11"/>
    </sheetView>
  </sheetViews>
  <sheetFormatPr defaultRowHeight="15"/>
  <sheetData>
    <row r="1" spans="1:19" ht="15.75">
      <c r="A1" s="1482">
        <v>41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</row>
    <row r="2" spans="1:19" ht="15.75">
      <c r="A2" s="1606" t="s">
        <v>306</v>
      </c>
      <c r="B2" s="1606"/>
      <c r="C2" s="1606"/>
      <c r="D2" s="1606"/>
      <c r="E2" s="1606"/>
      <c r="F2" s="1606"/>
      <c r="G2" s="1606"/>
      <c r="H2" s="1606"/>
      <c r="I2" s="1606"/>
      <c r="J2" s="1606"/>
      <c r="K2" s="1606"/>
      <c r="L2" s="1607" t="s">
        <v>616</v>
      </c>
      <c r="M2" s="1607"/>
      <c r="N2" s="1607"/>
      <c r="O2" s="1607"/>
      <c r="P2" s="1607"/>
      <c r="Q2" s="1607"/>
      <c r="R2" s="241"/>
      <c r="S2" s="241"/>
    </row>
    <row r="3" spans="1:19" ht="15.75">
      <c r="A3" s="1483" t="s">
        <v>273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242"/>
      <c r="M3" s="242"/>
      <c r="N3" s="242"/>
      <c r="O3" s="238" t="s">
        <v>298</v>
      </c>
      <c r="P3" s="242"/>
      <c r="Q3" s="242"/>
      <c r="R3" s="242"/>
      <c r="S3" s="242"/>
    </row>
    <row r="4" spans="1:19" ht="36">
      <c r="A4" s="227" t="s">
        <v>130</v>
      </c>
      <c r="B4" s="227" t="s">
        <v>131</v>
      </c>
      <c r="C4" s="227" t="s">
        <v>243</v>
      </c>
      <c r="D4" s="227" t="s">
        <v>245</v>
      </c>
      <c r="E4" s="227" t="s">
        <v>246</v>
      </c>
      <c r="F4" s="227" t="s">
        <v>247</v>
      </c>
      <c r="G4" s="227" t="s">
        <v>248</v>
      </c>
      <c r="H4" s="227" t="s">
        <v>249</v>
      </c>
      <c r="I4" s="227" t="s">
        <v>299</v>
      </c>
      <c r="J4" s="227" t="s">
        <v>300</v>
      </c>
      <c r="K4" s="227" t="s">
        <v>252</v>
      </c>
      <c r="L4" s="242"/>
      <c r="M4" s="1039" t="s">
        <v>253</v>
      </c>
      <c r="N4" s="1039" t="s">
        <v>243</v>
      </c>
      <c r="O4" s="1039" t="s">
        <v>301</v>
      </c>
      <c r="P4" s="1605" t="s">
        <v>255</v>
      </c>
      <c r="Q4" s="1605"/>
      <c r="R4" s="1605" t="s">
        <v>256</v>
      </c>
      <c r="S4" s="1605"/>
    </row>
    <row r="5" spans="1:19">
      <c r="A5" s="1318">
        <v>1</v>
      </c>
      <c r="B5" s="1319" t="s">
        <v>78</v>
      </c>
      <c r="C5" s="1327">
        <v>0</v>
      </c>
      <c r="D5" s="1327">
        <v>0</v>
      </c>
      <c r="E5" s="1327">
        <v>0</v>
      </c>
      <c r="F5" s="1342">
        <v>0</v>
      </c>
      <c r="G5" s="1327">
        <v>0</v>
      </c>
      <c r="H5" s="1342">
        <v>0</v>
      </c>
      <c r="I5" s="1327">
        <v>0</v>
      </c>
      <c r="J5" s="1327">
        <v>0</v>
      </c>
      <c r="K5" s="1327">
        <v>0</v>
      </c>
      <c r="L5" s="242"/>
      <c r="M5" s="134"/>
      <c r="N5" s="134"/>
      <c r="O5" s="134"/>
      <c r="P5" s="134" t="s">
        <v>257</v>
      </c>
      <c r="Q5" s="134" t="s">
        <v>258</v>
      </c>
      <c r="R5" s="134" t="s">
        <v>302</v>
      </c>
      <c r="S5" s="134" t="s">
        <v>258</v>
      </c>
    </row>
    <row r="6" spans="1:19">
      <c r="A6" s="1329">
        <v>2</v>
      </c>
      <c r="B6" s="1330" t="s">
        <v>27</v>
      </c>
      <c r="C6" s="1327">
        <v>0</v>
      </c>
      <c r="D6" s="1327">
        <v>0</v>
      </c>
      <c r="E6" s="1327">
        <v>0</v>
      </c>
      <c r="F6" s="1342">
        <v>0</v>
      </c>
      <c r="G6" s="1327">
        <v>0</v>
      </c>
      <c r="H6" s="1342">
        <v>0</v>
      </c>
      <c r="I6" s="1327">
        <v>0</v>
      </c>
      <c r="J6" s="1327">
        <v>0</v>
      </c>
      <c r="K6" s="1327">
        <v>0</v>
      </c>
      <c r="L6" s="242"/>
      <c r="M6" s="134" t="s">
        <v>40</v>
      </c>
      <c r="N6" s="1343"/>
      <c r="O6" s="1343"/>
      <c r="P6" s="1343"/>
      <c r="Q6" s="1344"/>
      <c r="R6" s="1343"/>
      <c r="S6" s="1344"/>
    </row>
    <row r="7" spans="1:19">
      <c r="A7" s="1329">
        <v>3</v>
      </c>
      <c r="B7" s="1330" t="s">
        <v>46</v>
      </c>
      <c r="C7" s="1327">
        <v>0</v>
      </c>
      <c r="D7" s="1327">
        <v>0</v>
      </c>
      <c r="E7" s="1327">
        <v>0</v>
      </c>
      <c r="F7" s="1342">
        <v>0</v>
      </c>
      <c r="G7" s="1327">
        <v>0</v>
      </c>
      <c r="H7" s="1342">
        <v>0</v>
      </c>
      <c r="I7" s="1327">
        <v>0</v>
      </c>
      <c r="J7" s="1327">
        <v>0</v>
      </c>
      <c r="K7" s="1327">
        <v>0</v>
      </c>
      <c r="L7" s="242"/>
      <c r="M7" s="134" t="s">
        <v>70</v>
      </c>
      <c r="N7" s="134"/>
      <c r="O7" s="134"/>
      <c r="P7" s="134"/>
      <c r="Q7" s="201"/>
      <c r="R7" s="134"/>
      <c r="S7" s="201"/>
    </row>
    <row r="8" spans="1:19">
      <c r="A8" s="1329">
        <v>4</v>
      </c>
      <c r="B8" s="1330" t="s">
        <v>32</v>
      </c>
      <c r="C8" s="1327">
        <v>0</v>
      </c>
      <c r="D8" s="1327">
        <v>0</v>
      </c>
      <c r="E8" s="1327">
        <v>0</v>
      </c>
      <c r="F8" s="1342">
        <v>0</v>
      </c>
      <c r="G8" s="1327">
        <v>0</v>
      </c>
      <c r="H8" s="1342">
        <v>0</v>
      </c>
      <c r="I8" s="1327">
        <v>0</v>
      </c>
      <c r="J8" s="1327">
        <v>0</v>
      </c>
      <c r="K8" s="1327">
        <v>0</v>
      </c>
      <c r="L8" s="172"/>
      <c r="M8" s="134" t="s">
        <v>38</v>
      </c>
      <c r="N8" s="1343"/>
      <c r="O8" s="1343"/>
      <c r="P8" s="1343"/>
      <c r="Q8" s="1344"/>
      <c r="R8" s="1343"/>
      <c r="S8" s="1344"/>
    </row>
    <row r="9" spans="1:19">
      <c r="A9" s="1329">
        <v>5</v>
      </c>
      <c r="B9" s="1330" t="s">
        <v>83</v>
      </c>
      <c r="C9" s="1327">
        <v>0</v>
      </c>
      <c r="D9" s="1327">
        <v>0</v>
      </c>
      <c r="E9" s="1327">
        <v>0</v>
      </c>
      <c r="F9" s="1342">
        <v>0</v>
      </c>
      <c r="G9" s="1327">
        <v>0</v>
      </c>
      <c r="H9" s="1342">
        <v>0</v>
      </c>
      <c r="I9" s="1327">
        <v>0</v>
      </c>
      <c r="J9" s="1327">
        <v>0</v>
      </c>
      <c r="K9" s="1327">
        <v>0</v>
      </c>
      <c r="L9" s="242"/>
      <c r="M9" s="134" t="s">
        <v>33</v>
      </c>
      <c r="N9" s="134"/>
      <c r="O9" s="134"/>
      <c r="P9" s="134"/>
      <c r="Q9" s="201"/>
      <c r="R9" s="134"/>
      <c r="S9" s="201"/>
    </row>
    <row r="10" spans="1:19">
      <c r="A10" s="1329">
        <v>6</v>
      </c>
      <c r="B10" s="1330" t="s">
        <v>85</v>
      </c>
      <c r="C10" s="1327">
        <v>0</v>
      </c>
      <c r="D10" s="1327">
        <v>0</v>
      </c>
      <c r="E10" s="1327">
        <v>0</v>
      </c>
      <c r="F10" s="1342">
        <v>0</v>
      </c>
      <c r="G10" s="1327">
        <v>0</v>
      </c>
      <c r="H10" s="1342">
        <v>0</v>
      </c>
      <c r="I10" s="1327">
        <v>0</v>
      </c>
      <c r="J10" s="1327">
        <v>0</v>
      </c>
      <c r="K10" s="1327">
        <v>0</v>
      </c>
      <c r="L10" s="242"/>
      <c r="M10" s="134" t="s">
        <v>37</v>
      </c>
      <c r="N10" s="134"/>
      <c r="O10" s="134"/>
      <c r="P10" s="134"/>
      <c r="Q10" s="201"/>
      <c r="R10" s="134"/>
      <c r="S10" s="1344"/>
    </row>
    <row r="11" spans="1:19">
      <c r="A11" s="1329">
        <v>7</v>
      </c>
      <c r="B11" s="1330" t="s">
        <v>17</v>
      </c>
      <c r="C11" s="1327">
        <v>0</v>
      </c>
      <c r="D11" s="1327">
        <v>0</v>
      </c>
      <c r="E11" s="1327">
        <v>0</v>
      </c>
      <c r="F11" s="1342">
        <v>0</v>
      </c>
      <c r="G11" s="1327">
        <v>0</v>
      </c>
      <c r="H11" s="1342">
        <v>0</v>
      </c>
      <c r="I11" s="1327">
        <v>0</v>
      </c>
      <c r="J11" s="1327">
        <v>0</v>
      </c>
      <c r="K11" s="1327">
        <v>0</v>
      </c>
      <c r="L11" s="172"/>
      <c r="M11" s="134" t="s">
        <v>259</v>
      </c>
      <c r="N11" s="1343"/>
      <c r="O11" s="1343"/>
      <c r="P11" s="1343"/>
      <c r="Q11" s="1344"/>
      <c r="R11" s="1343"/>
      <c r="S11" s="1344"/>
    </row>
    <row r="12" spans="1:19">
      <c r="A12" s="1329">
        <v>8</v>
      </c>
      <c r="B12" s="1330" t="s">
        <v>26</v>
      </c>
      <c r="C12" s="1327">
        <v>0</v>
      </c>
      <c r="D12" s="1327">
        <v>0</v>
      </c>
      <c r="E12" s="1327">
        <v>0</v>
      </c>
      <c r="F12" s="1342">
        <v>0</v>
      </c>
      <c r="G12" s="1327">
        <v>0</v>
      </c>
      <c r="H12" s="1342">
        <v>0</v>
      </c>
      <c r="I12" s="1327">
        <v>0</v>
      </c>
      <c r="J12" s="1327">
        <v>0</v>
      </c>
      <c r="K12" s="1327">
        <v>0</v>
      </c>
      <c r="L12" s="172"/>
      <c r="M12" s="134" t="s">
        <v>260</v>
      </c>
      <c r="N12" s="1343"/>
      <c r="O12" s="1343"/>
      <c r="P12" s="1343"/>
      <c r="Q12" s="1344"/>
      <c r="R12" s="1343"/>
      <c r="S12" s="1344"/>
    </row>
    <row r="13" spans="1:19">
      <c r="A13" s="1329">
        <v>9</v>
      </c>
      <c r="B13" s="1330" t="s">
        <v>11</v>
      </c>
      <c r="C13" s="1327">
        <v>0</v>
      </c>
      <c r="D13" s="1327">
        <v>0</v>
      </c>
      <c r="E13" s="1327">
        <v>0</v>
      </c>
      <c r="F13" s="1342">
        <v>0</v>
      </c>
      <c r="G13" s="1327">
        <v>0</v>
      </c>
      <c r="H13" s="1342">
        <v>0</v>
      </c>
      <c r="I13" s="1327">
        <v>0</v>
      </c>
      <c r="J13" s="1327">
        <v>0</v>
      </c>
      <c r="K13" s="1327">
        <v>0</v>
      </c>
      <c r="L13" s="172"/>
      <c r="M13" s="134" t="s">
        <v>25</v>
      </c>
      <c r="N13" s="1343"/>
      <c r="O13" s="1343"/>
      <c r="P13" s="1343"/>
      <c r="Q13" s="1344"/>
      <c r="R13" s="1343"/>
      <c r="S13" s="1344"/>
    </row>
    <row r="14" spans="1:19">
      <c r="A14" s="1329">
        <v>10</v>
      </c>
      <c r="B14" s="1330" t="s">
        <v>90</v>
      </c>
      <c r="C14" s="1327">
        <v>0</v>
      </c>
      <c r="D14" s="1327">
        <v>0</v>
      </c>
      <c r="E14" s="1327">
        <v>0</v>
      </c>
      <c r="F14" s="1342">
        <v>0</v>
      </c>
      <c r="G14" s="1327">
        <v>0</v>
      </c>
      <c r="H14" s="1342">
        <v>0</v>
      </c>
      <c r="I14" s="1327">
        <v>0</v>
      </c>
      <c r="J14" s="1327">
        <v>0</v>
      </c>
      <c r="K14" s="1327">
        <v>0</v>
      </c>
      <c r="L14" s="242"/>
      <c r="M14" s="134" t="s">
        <v>21</v>
      </c>
      <c r="N14" s="134"/>
      <c r="O14" s="134"/>
      <c r="P14" s="134"/>
      <c r="Q14" s="201"/>
      <c r="R14" s="134"/>
      <c r="S14" s="201"/>
    </row>
    <row r="15" spans="1:19">
      <c r="A15" s="1329">
        <v>11</v>
      </c>
      <c r="B15" s="1330" t="s">
        <v>92</v>
      </c>
      <c r="C15" s="1327">
        <v>0</v>
      </c>
      <c r="D15" s="1327">
        <v>0</v>
      </c>
      <c r="E15" s="1327">
        <v>0</v>
      </c>
      <c r="F15" s="1342">
        <v>0</v>
      </c>
      <c r="G15" s="1327">
        <v>0</v>
      </c>
      <c r="H15" s="1342">
        <v>0</v>
      </c>
      <c r="I15" s="1327">
        <v>0</v>
      </c>
      <c r="J15" s="1327">
        <v>0</v>
      </c>
      <c r="K15" s="1327">
        <v>0</v>
      </c>
      <c r="L15" s="242"/>
      <c r="M15" s="134" t="s">
        <v>20</v>
      </c>
      <c r="N15" s="134"/>
      <c r="O15" s="134"/>
      <c r="P15" s="134"/>
      <c r="Q15" s="201"/>
      <c r="R15" s="134"/>
      <c r="S15" s="201"/>
    </row>
    <row r="16" spans="1:19">
      <c r="A16" s="1329">
        <v>12</v>
      </c>
      <c r="B16" s="1330" t="s">
        <v>51</v>
      </c>
      <c r="C16" s="1327">
        <v>0</v>
      </c>
      <c r="D16" s="1327">
        <v>0</v>
      </c>
      <c r="E16" s="1327">
        <v>0</v>
      </c>
      <c r="F16" s="1342">
        <v>0</v>
      </c>
      <c r="G16" s="1327">
        <v>0</v>
      </c>
      <c r="H16" s="1342">
        <v>0</v>
      </c>
      <c r="I16" s="1327">
        <v>0</v>
      </c>
      <c r="J16" s="1327">
        <v>0</v>
      </c>
      <c r="K16" s="1327">
        <v>0</v>
      </c>
      <c r="L16" s="242"/>
      <c r="M16" s="134" t="s">
        <v>261</v>
      </c>
      <c r="N16" s="1343"/>
      <c r="O16" s="1343"/>
      <c r="P16" s="1343"/>
      <c r="Q16" s="1344"/>
      <c r="R16" s="1343"/>
      <c r="S16" s="1344"/>
    </row>
    <row r="17" spans="1:19">
      <c r="A17" s="1329">
        <v>13</v>
      </c>
      <c r="B17" s="1330" t="s">
        <v>52</v>
      </c>
      <c r="C17" s="1327">
        <v>0</v>
      </c>
      <c r="D17" s="1327">
        <v>0</v>
      </c>
      <c r="E17" s="1327">
        <v>0</v>
      </c>
      <c r="F17" s="1342">
        <v>0</v>
      </c>
      <c r="G17" s="1327">
        <v>0</v>
      </c>
      <c r="H17" s="1342">
        <v>0</v>
      </c>
      <c r="I17" s="1327">
        <v>0</v>
      </c>
      <c r="J17" s="1327">
        <v>0</v>
      </c>
      <c r="K17" s="1327">
        <v>0</v>
      </c>
      <c r="L17" s="242"/>
      <c r="M17" s="134" t="s">
        <v>263</v>
      </c>
      <c r="N17" s="134"/>
      <c r="O17" s="134"/>
      <c r="P17" s="134"/>
      <c r="Q17" s="201"/>
      <c r="R17" s="134"/>
      <c r="S17" s="201"/>
    </row>
    <row r="18" spans="1:19">
      <c r="A18" s="1329">
        <v>14</v>
      </c>
      <c r="B18" s="1330" t="s">
        <v>28</v>
      </c>
      <c r="C18" s="1327">
        <v>0</v>
      </c>
      <c r="D18" s="1327">
        <v>0</v>
      </c>
      <c r="E18" s="1327">
        <v>0</v>
      </c>
      <c r="F18" s="1342">
        <v>0</v>
      </c>
      <c r="G18" s="1327">
        <v>0</v>
      </c>
      <c r="H18" s="1342">
        <v>0</v>
      </c>
      <c r="I18" s="1327">
        <v>0</v>
      </c>
      <c r="J18" s="1327">
        <v>0</v>
      </c>
      <c r="K18" s="1327">
        <v>0</v>
      </c>
      <c r="L18" s="242"/>
      <c r="M18" s="134" t="s">
        <v>264</v>
      </c>
      <c r="N18" s="134"/>
      <c r="O18" s="134"/>
      <c r="P18" s="134"/>
      <c r="Q18" s="201"/>
      <c r="R18" s="134"/>
      <c r="S18" s="201"/>
    </row>
    <row r="19" spans="1:19">
      <c r="A19" s="1329">
        <v>15</v>
      </c>
      <c r="B19" s="1330" t="s">
        <v>10</v>
      </c>
      <c r="C19" s="1327">
        <v>0</v>
      </c>
      <c r="D19" s="1327">
        <v>0</v>
      </c>
      <c r="E19" s="1327">
        <v>0</v>
      </c>
      <c r="F19" s="1328">
        <v>0</v>
      </c>
      <c r="G19" s="1323">
        <v>0</v>
      </c>
      <c r="H19" s="1328">
        <v>0</v>
      </c>
      <c r="I19" s="1323">
        <v>0</v>
      </c>
      <c r="J19" s="1327">
        <v>0</v>
      </c>
      <c r="K19" s="1327">
        <v>0</v>
      </c>
      <c r="L19" s="172"/>
      <c r="M19" s="134" t="s">
        <v>265</v>
      </c>
      <c r="N19" s="1343"/>
      <c r="O19" s="1343"/>
      <c r="P19" s="1343"/>
      <c r="Q19" s="1344"/>
      <c r="R19" s="1343"/>
      <c r="S19" s="1344"/>
    </row>
    <row r="20" spans="1:19">
      <c r="A20" s="1329">
        <v>16</v>
      </c>
      <c r="B20" s="1330" t="s">
        <v>98</v>
      </c>
      <c r="C20" s="1327">
        <v>0</v>
      </c>
      <c r="D20" s="1327">
        <v>0</v>
      </c>
      <c r="E20" s="1327">
        <v>0</v>
      </c>
      <c r="F20" s="1342">
        <v>0</v>
      </c>
      <c r="G20" s="1327">
        <v>0</v>
      </c>
      <c r="H20" s="1342">
        <v>0</v>
      </c>
      <c r="I20" s="1327">
        <v>0</v>
      </c>
      <c r="J20" s="1327">
        <v>0</v>
      </c>
      <c r="K20" s="1327">
        <v>0</v>
      </c>
      <c r="L20" s="242"/>
      <c r="M20" s="134" t="s">
        <v>266</v>
      </c>
      <c r="N20" s="134"/>
      <c r="O20" s="134"/>
      <c r="P20" s="134"/>
      <c r="Q20" s="201"/>
      <c r="R20" s="134"/>
      <c r="S20" s="201"/>
    </row>
    <row r="21" spans="1:19">
      <c r="A21" s="1329">
        <v>17</v>
      </c>
      <c r="B21" s="1330" t="s">
        <v>35</v>
      </c>
      <c r="C21" s="1327">
        <v>0</v>
      </c>
      <c r="D21" s="1327">
        <v>0</v>
      </c>
      <c r="E21" s="1327">
        <v>0</v>
      </c>
      <c r="F21" s="1342">
        <v>0</v>
      </c>
      <c r="G21" s="1327">
        <v>0</v>
      </c>
      <c r="H21" s="1342">
        <v>0</v>
      </c>
      <c r="I21" s="1327">
        <v>0</v>
      </c>
      <c r="J21" s="1327">
        <v>0</v>
      </c>
      <c r="K21" s="1327">
        <v>0</v>
      </c>
      <c r="L21" s="242"/>
      <c r="M21" s="134" t="s">
        <v>41</v>
      </c>
      <c r="N21" s="134"/>
      <c r="O21" s="134"/>
      <c r="P21" s="134"/>
      <c r="Q21" s="201"/>
      <c r="R21" s="134"/>
      <c r="S21" s="201"/>
    </row>
    <row r="22" spans="1:19">
      <c r="A22" s="1329">
        <v>18</v>
      </c>
      <c r="B22" s="1330" t="s">
        <v>54</v>
      </c>
      <c r="C22" s="1327">
        <v>0</v>
      </c>
      <c r="D22" s="1327">
        <v>0</v>
      </c>
      <c r="E22" s="1327">
        <v>0</v>
      </c>
      <c r="F22" s="1342">
        <v>0</v>
      </c>
      <c r="G22" s="1327">
        <v>0</v>
      </c>
      <c r="H22" s="1342">
        <v>0</v>
      </c>
      <c r="I22" s="1327">
        <v>0</v>
      </c>
      <c r="J22" s="1327">
        <v>0</v>
      </c>
      <c r="K22" s="1327">
        <v>0</v>
      </c>
      <c r="L22" s="172"/>
      <c r="M22" s="134" t="s">
        <v>44</v>
      </c>
      <c r="N22" s="1343"/>
      <c r="O22" s="1343"/>
      <c r="P22" s="1343"/>
      <c r="Q22" s="1343"/>
      <c r="R22" s="1343"/>
      <c r="S22" s="1343"/>
    </row>
    <row r="23" spans="1:19">
      <c r="A23" s="1329">
        <v>19</v>
      </c>
      <c r="B23" s="1330" t="s">
        <v>102</v>
      </c>
      <c r="C23" s="1327">
        <v>0</v>
      </c>
      <c r="D23" s="1327">
        <v>0</v>
      </c>
      <c r="E23" s="1327">
        <v>0</v>
      </c>
      <c r="F23" s="1342">
        <v>0</v>
      </c>
      <c r="G23" s="1327">
        <v>0</v>
      </c>
      <c r="H23" s="1342">
        <v>0</v>
      </c>
      <c r="I23" s="1327">
        <v>0</v>
      </c>
      <c r="J23" s="1327">
        <v>0</v>
      </c>
      <c r="K23" s="1327">
        <v>0</v>
      </c>
      <c r="L23" s="172"/>
      <c r="M23" s="134" t="s">
        <v>13</v>
      </c>
      <c r="N23" s="134">
        <v>0</v>
      </c>
      <c r="O23" s="134">
        <v>0</v>
      </c>
      <c r="P23" s="134">
        <f>SUM(P6:P22)</f>
        <v>0</v>
      </c>
      <c r="Q23" s="201">
        <f>SUM(Q6:Q22)</f>
        <v>0</v>
      </c>
      <c r="R23" s="134">
        <f>SUM(R6:R22)</f>
        <v>0</v>
      </c>
      <c r="S23" s="201">
        <f>SUM(S6:S22)</f>
        <v>0</v>
      </c>
    </row>
    <row r="24" spans="1:19">
      <c r="A24" s="1329">
        <v>20</v>
      </c>
      <c r="B24" s="1330" t="s">
        <v>104</v>
      </c>
      <c r="C24" s="1327">
        <v>0</v>
      </c>
      <c r="D24" s="1327">
        <v>0</v>
      </c>
      <c r="E24" s="1327">
        <v>0</v>
      </c>
      <c r="F24" s="1342">
        <v>0</v>
      </c>
      <c r="G24" s="1327">
        <v>0</v>
      </c>
      <c r="H24" s="1342">
        <v>0</v>
      </c>
      <c r="I24" s="1327">
        <v>0</v>
      </c>
      <c r="J24" s="1327">
        <v>0</v>
      </c>
      <c r="K24" s="1327">
        <v>0</v>
      </c>
      <c r="L24" s="172"/>
      <c r="M24" s="172"/>
      <c r="N24" s="172"/>
      <c r="O24" s="172"/>
      <c r="P24" s="172"/>
      <c r="Q24" s="172"/>
      <c r="R24" s="172"/>
      <c r="S24" s="172"/>
    </row>
    <row r="25" spans="1:19">
      <c r="A25" s="1329">
        <v>21</v>
      </c>
      <c r="B25" s="1330" t="s">
        <v>106</v>
      </c>
      <c r="C25" s="1327">
        <v>0</v>
      </c>
      <c r="D25" s="1327">
        <v>0</v>
      </c>
      <c r="E25" s="1327">
        <v>0</v>
      </c>
      <c r="F25" s="1342">
        <v>0</v>
      </c>
      <c r="G25" s="1327">
        <v>0</v>
      </c>
      <c r="H25" s="1342">
        <v>0</v>
      </c>
      <c r="I25" s="1327">
        <v>0</v>
      </c>
      <c r="J25" s="1327">
        <v>0</v>
      </c>
      <c r="K25" s="1327">
        <v>0</v>
      </c>
      <c r="L25" s="172"/>
      <c r="M25" s="171" t="s">
        <v>307</v>
      </c>
      <c r="N25" s="171"/>
      <c r="O25" s="171"/>
      <c r="P25" s="171"/>
      <c r="Q25" s="171"/>
      <c r="R25" s="172"/>
      <c r="S25" s="172"/>
    </row>
    <row r="26" spans="1:19">
      <c r="A26" s="1345">
        <v>22</v>
      </c>
      <c r="B26" s="1330" t="s">
        <v>108</v>
      </c>
      <c r="C26" s="1320">
        <v>0</v>
      </c>
      <c r="D26" s="1320">
        <v>0</v>
      </c>
      <c r="E26" s="1320">
        <v>0</v>
      </c>
      <c r="F26" s="1346">
        <v>0</v>
      </c>
      <c r="G26" s="1320">
        <v>0</v>
      </c>
      <c r="H26" s="1346">
        <v>0</v>
      </c>
      <c r="I26" s="1320">
        <v>0</v>
      </c>
      <c r="J26" s="1320">
        <v>0</v>
      </c>
      <c r="K26" s="1320">
        <v>0</v>
      </c>
      <c r="L26" s="172"/>
      <c r="M26" s="171"/>
      <c r="N26" s="171"/>
      <c r="O26" s="171"/>
      <c r="P26" s="171"/>
      <c r="Q26" s="171"/>
      <c r="R26" s="172"/>
      <c r="S26" s="172"/>
    </row>
    <row r="27" spans="1:19">
      <c r="A27" s="1512" t="s">
        <v>205</v>
      </c>
      <c r="B27" s="1513"/>
      <c r="C27" s="1334">
        <f t="shared" ref="C27:K27" si="0">SUM(C5:C26)</f>
        <v>0</v>
      </c>
      <c r="D27" s="1334">
        <f t="shared" si="0"/>
        <v>0</v>
      </c>
      <c r="E27" s="1334">
        <f t="shared" si="0"/>
        <v>0</v>
      </c>
      <c r="F27" s="1335">
        <f t="shared" si="0"/>
        <v>0</v>
      </c>
      <c r="G27" s="1334">
        <f t="shared" si="0"/>
        <v>0</v>
      </c>
      <c r="H27" s="1335">
        <f t="shared" si="0"/>
        <v>0</v>
      </c>
      <c r="I27" s="1334">
        <f t="shared" si="0"/>
        <v>0</v>
      </c>
      <c r="J27" s="1334">
        <f t="shared" si="0"/>
        <v>0</v>
      </c>
      <c r="K27" s="1334">
        <f t="shared" si="0"/>
        <v>0</v>
      </c>
      <c r="L27" s="172"/>
      <c r="M27" s="172"/>
      <c r="N27" s="172"/>
      <c r="O27" s="172"/>
      <c r="P27" s="172"/>
      <c r="Q27" s="172"/>
      <c r="R27" s="172"/>
      <c r="S27" s="172"/>
    </row>
    <row r="28" spans="1:19">
      <c r="A28" s="1318">
        <v>1</v>
      </c>
      <c r="B28" s="1319" t="s">
        <v>16</v>
      </c>
      <c r="C28" s="1320">
        <v>0</v>
      </c>
      <c r="D28" s="1320">
        <v>0</v>
      </c>
      <c r="E28" s="1320">
        <v>0</v>
      </c>
      <c r="F28" s="1321">
        <v>0</v>
      </c>
      <c r="G28" s="1322">
        <v>0</v>
      </c>
      <c r="H28" s="1321">
        <v>0</v>
      </c>
      <c r="I28" s="1322">
        <v>0</v>
      </c>
      <c r="J28" s="1320">
        <v>0</v>
      </c>
      <c r="K28" s="1320">
        <v>0</v>
      </c>
      <c r="L28" s="172"/>
      <c r="M28" s="172"/>
      <c r="N28" s="172"/>
      <c r="O28" s="172"/>
      <c r="P28" s="172"/>
      <c r="Q28" s="172"/>
      <c r="R28" s="172"/>
      <c r="S28" s="172"/>
    </row>
    <row r="29" spans="1:19">
      <c r="A29" s="1329">
        <v>1</v>
      </c>
      <c r="B29" s="1330" t="s">
        <v>110</v>
      </c>
      <c r="C29" s="1327">
        <v>0</v>
      </c>
      <c r="D29" s="1327">
        <v>0</v>
      </c>
      <c r="E29" s="1327">
        <v>0</v>
      </c>
      <c r="F29" s="1328">
        <v>0</v>
      </c>
      <c r="G29" s="1323">
        <v>0</v>
      </c>
      <c r="H29" s="1328">
        <v>0</v>
      </c>
      <c r="I29" s="1323">
        <v>0</v>
      </c>
      <c r="J29" s="1327">
        <v>0</v>
      </c>
      <c r="K29" s="1327">
        <v>0</v>
      </c>
      <c r="L29" s="172"/>
      <c r="M29" s="172"/>
      <c r="N29" s="172"/>
      <c r="O29" s="172"/>
      <c r="P29" s="172"/>
      <c r="Q29" s="172"/>
      <c r="R29" s="172"/>
      <c r="S29" s="172"/>
    </row>
    <row r="30" spans="1:19">
      <c r="A30" s="1512" t="s">
        <v>206</v>
      </c>
      <c r="B30" s="1513"/>
      <c r="C30" s="1334">
        <v>0</v>
      </c>
      <c r="D30" s="1334">
        <f t="shared" ref="D30:K30" si="1">SUM(D27:D29)</f>
        <v>0</v>
      </c>
      <c r="E30" s="1334">
        <f t="shared" si="1"/>
        <v>0</v>
      </c>
      <c r="F30" s="1335">
        <f t="shared" si="1"/>
        <v>0</v>
      </c>
      <c r="G30" s="1334">
        <f t="shared" si="1"/>
        <v>0</v>
      </c>
      <c r="H30" s="1335">
        <f t="shared" si="1"/>
        <v>0</v>
      </c>
      <c r="I30" s="1334">
        <f t="shared" si="1"/>
        <v>0</v>
      </c>
      <c r="J30" s="1334">
        <f t="shared" si="1"/>
        <v>0</v>
      </c>
      <c r="K30" s="1334">
        <f t="shared" si="1"/>
        <v>0</v>
      </c>
      <c r="L30" s="172"/>
      <c r="M30" s="172"/>
      <c r="N30" s="172"/>
      <c r="O30" s="172"/>
      <c r="P30" s="172"/>
      <c r="Q30" s="172"/>
      <c r="R30" s="172"/>
      <c r="S30" s="172"/>
    </row>
    <row r="31" spans="1:19">
      <c r="A31" s="767" t="s">
        <v>136</v>
      </c>
      <c r="B31" s="767"/>
      <c r="C31" s="767"/>
      <c r="D31" s="767"/>
      <c r="E31" s="767"/>
      <c r="F31" s="754"/>
      <c r="G31" s="767"/>
      <c r="H31" s="767"/>
      <c r="I31" s="767"/>
      <c r="J31" s="767"/>
      <c r="K31" s="767"/>
      <c r="L31" s="231"/>
      <c r="M31" s="172"/>
      <c r="N31" s="172"/>
      <c r="O31" s="172"/>
      <c r="P31" s="172"/>
      <c r="Q31" s="172"/>
      <c r="R31" s="172"/>
      <c r="S31" s="172"/>
    </row>
    <row r="32" spans="1:19">
      <c r="A32" s="167"/>
      <c r="B32" s="167" t="s">
        <v>13</v>
      </c>
      <c r="C32" s="167">
        <v>0</v>
      </c>
      <c r="D32" s="167">
        <v>0</v>
      </c>
      <c r="E32" s="167">
        <v>0</v>
      </c>
      <c r="F32" s="1253">
        <v>0</v>
      </c>
      <c r="G32" s="167">
        <v>0</v>
      </c>
      <c r="H32" s="1253">
        <v>0</v>
      </c>
      <c r="I32" s="167">
        <v>0</v>
      </c>
      <c r="J32" s="167">
        <v>0</v>
      </c>
      <c r="K32" s="167">
        <v>0</v>
      </c>
      <c r="L32" s="243"/>
      <c r="M32" s="172"/>
      <c r="N32" s="172"/>
      <c r="O32" s="172"/>
      <c r="P32" s="172"/>
      <c r="Q32" s="172"/>
      <c r="R32" s="172"/>
      <c r="S32" s="172"/>
    </row>
  </sheetData>
  <mergeCells count="8">
    <mergeCell ref="A27:B27"/>
    <mergeCell ref="A30:B30"/>
    <mergeCell ref="A1:S1"/>
    <mergeCell ref="A2:K2"/>
    <mergeCell ref="L2:Q2"/>
    <mergeCell ref="A3:K3"/>
    <mergeCell ref="P4:Q4"/>
    <mergeCell ref="R4:S4"/>
  </mergeCells>
  <printOptions gridLines="1"/>
  <pageMargins left="0.7" right="0.7" top="0.75" bottom="0.75" header="0.3" footer="0.3"/>
  <pageSetup paperSize="9" scale="75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Q6" sqref="Q6"/>
    </sheetView>
  </sheetViews>
  <sheetFormatPr defaultRowHeight="15"/>
  <sheetData>
    <row r="1" spans="1:15" ht="15.75">
      <c r="A1" s="1560">
        <v>42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</row>
    <row r="2" spans="1:15" ht="15.75">
      <c r="A2" s="1596" t="s">
        <v>313</v>
      </c>
      <c r="B2" s="1596"/>
      <c r="C2" s="1596"/>
      <c r="D2" s="1596"/>
      <c r="E2" s="1596"/>
      <c r="F2" s="1596"/>
      <c r="G2" s="1596"/>
      <c r="H2" s="1596"/>
      <c r="I2" s="1035"/>
      <c r="J2" s="1596" t="s">
        <v>314</v>
      </c>
      <c r="K2" s="1596"/>
      <c r="L2" s="1596"/>
      <c r="M2" s="1596"/>
      <c r="N2" s="1596"/>
      <c r="O2" s="1596"/>
    </row>
    <row r="3" spans="1:15" ht="15.75">
      <c r="A3" s="741"/>
      <c r="B3" s="257"/>
      <c r="C3" s="257"/>
      <c r="D3" s="257"/>
      <c r="E3" s="257"/>
      <c r="F3" s="1610" t="s">
        <v>602</v>
      </c>
      <c r="G3" s="1610"/>
      <c r="H3" s="1610"/>
      <c r="I3" s="1610"/>
      <c r="J3" s="1610"/>
      <c r="K3" s="1610"/>
      <c r="L3" s="1611" t="s">
        <v>315</v>
      </c>
      <c r="M3" s="1611"/>
      <c r="N3" s="1611"/>
      <c r="O3" s="1611"/>
    </row>
    <row r="4" spans="1:15" ht="15.75">
      <c r="A4" s="741"/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258"/>
      <c r="M4" s="258"/>
      <c r="N4" s="258"/>
      <c r="O4" s="258"/>
    </row>
    <row r="5" spans="1:15" ht="38.25">
      <c r="A5" s="1032" t="s">
        <v>130</v>
      </c>
      <c r="B5" s="1032" t="s">
        <v>131</v>
      </c>
      <c r="C5" s="1032" t="s">
        <v>310</v>
      </c>
      <c r="D5" s="1032" t="s">
        <v>311</v>
      </c>
      <c r="E5" s="1032" t="s">
        <v>211</v>
      </c>
      <c r="F5" s="1032" t="s">
        <v>212</v>
      </c>
      <c r="G5" s="1032" t="s">
        <v>213</v>
      </c>
      <c r="H5" s="1032" t="s">
        <v>312</v>
      </c>
      <c r="I5" s="249"/>
      <c r="J5" s="1032" t="s">
        <v>316</v>
      </c>
      <c r="K5" s="1032" t="s">
        <v>311</v>
      </c>
      <c r="L5" s="1032" t="s">
        <v>211</v>
      </c>
      <c r="M5" s="1032" t="s">
        <v>212</v>
      </c>
      <c r="N5" s="1032" t="s">
        <v>213</v>
      </c>
      <c r="O5" s="1032" t="s">
        <v>312</v>
      </c>
    </row>
    <row r="6" spans="1:15">
      <c r="A6" s="1347">
        <v>1</v>
      </c>
      <c r="B6" s="1310" t="s">
        <v>78</v>
      </c>
      <c r="C6" s="1266">
        <v>0</v>
      </c>
      <c r="D6" s="1267">
        <v>0</v>
      </c>
      <c r="E6" s="1267">
        <v>0</v>
      </c>
      <c r="F6" s="1267">
        <v>0</v>
      </c>
      <c r="G6" s="1267">
        <v>0</v>
      </c>
      <c r="H6" s="1348">
        <f>E6-F6</f>
        <v>0</v>
      </c>
      <c r="I6" s="255"/>
      <c r="J6" s="1268">
        <v>0</v>
      </c>
      <c r="K6" s="1267">
        <v>0</v>
      </c>
      <c r="L6" s="1267">
        <v>0</v>
      </c>
      <c r="M6" s="1267">
        <v>0</v>
      </c>
      <c r="N6" s="1267">
        <v>0</v>
      </c>
      <c r="O6" s="1267">
        <f>L6-M6</f>
        <v>0</v>
      </c>
    </row>
    <row r="7" spans="1:15">
      <c r="A7" s="1347">
        <v>2</v>
      </c>
      <c r="B7" s="1310" t="s">
        <v>27</v>
      </c>
      <c r="C7" s="1266">
        <v>0</v>
      </c>
      <c r="D7" s="1267">
        <v>0</v>
      </c>
      <c r="E7" s="1267">
        <v>0</v>
      </c>
      <c r="F7" s="1267">
        <v>0</v>
      </c>
      <c r="G7" s="1267">
        <v>0</v>
      </c>
      <c r="H7" s="1348">
        <f t="shared" ref="H7:H26" si="0">E7-F7</f>
        <v>0</v>
      </c>
      <c r="I7" s="1349"/>
      <c r="J7" s="1268">
        <v>0</v>
      </c>
      <c r="K7" s="1267">
        <v>0</v>
      </c>
      <c r="L7" s="1267">
        <v>0</v>
      </c>
      <c r="M7" s="1267">
        <v>0</v>
      </c>
      <c r="N7" s="1267">
        <v>0</v>
      </c>
      <c r="O7" s="1267">
        <f t="shared" ref="O7:O27" si="1">L7-M7</f>
        <v>0</v>
      </c>
    </row>
    <row r="8" spans="1:15">
      <c r="A8" s="1347">
        <v>3</v>
      </c>
      <c r="B8" s="1310" t="s">
        <v>46</v>
      </c>
      <c r="C8" s="1266">
        <v>0</v>
      </c>
      <c r="D8" s="1267">
        <v>0</v>
      </c>
      <c r="E8" s="1267">
        <v>0</v>
      </c>
      <c r="F8" s="1267">
        <v>0</v>
      </c>
      <c r="G8" s="1267">
        <v>0</v>
      </c>
      <c r="H8" s="1348">
        <f t="shared" si="0"/>
        <v>0</v>
      </c>
      <c r="I8" s="255"/>
      <c r="J8" s="1268">
        <v>0</v>
      </c>
      <c r="K8" s="1267">
        <v>0</v>
      </c>
      <c r="L8" s="1267">
        <v>0</v>
      </c>
      <c r="M8" s="1267">
        <v>0</v>
      </c>
      <c r="N8" s="1267">
        <v>0</v>
      </c>
      <c r="O8" s="1267">
        <f t="shared" si="1"/>
        <v>0</v>
      </c>
    </row>
    <row r="9" spans="1:15">
      <c r="A9" s="1347">
        <v>4</v>
      </c>
      <c r="B9" s="1310" t="s">
        <v>32</v>
      </c>
      <c r="C9" s="1266">
        <v>0</v>
      </c>
      <c r="D9" s="1267">
        <v>0</v>
      </c>
      <c r="E9" s="1267">
        <v>0</v>
      </c>
      <c r="F9" s="1267">
        <v>0</v>
      </c>
      <c r="G9" s="1267">
        <v>0</v>
      </c>
      <c r="H9" s="1348">
        <f t="shared" si="0"/>
        <v>0</v>
      </c>
      <c r="I9" s="1349"/>
      <c r="J9" s="1268">
        <v>0</v>
      </c>
      <c r="K9" s="1267">
        <v>0</v>
      </c>
      <c r="L9" s="1267">
        <v>0</v>
      </c>
      <c r="M9" s="1267">
        <v>0</v>
      </c>
      <c r="N9" s="1267">
        <v>0</v>
      </c>
      <c r="O9" s="1267">
        <f t="shared" si="1"/>
        <v>0</v>
      </c>
    </row>
    <row r="10" spans="1:15">
      <c r="A10" s="1347">
        <v>5</v>
      </c>
      <c r="B10" s="1310" t="s">
        <v>83</v>
      </c>
      <c r="C10" s="1266">
        <v>0</v>
      </c>
      <c r="D10" s="1267">
        <v>0</v>
      </c>
      <c r="E10" s="1267">
        <v>0</v>
      </c>
      <c r="F10" s="1267">
        <v>0</v>
      </c>
      <c r="G10" s="1267">
        <v>0</v>
      </c>
      <c r="H10" s="1348">
        <f t="shared" si="0"/>
        <v>0</v>
      </c>
      <c r="I10" s="255"/>
      <c r="J10" s="1268">
        <v>0</v>
      </c>
      <c r="K10" s="1267">
        <v>0</v>
      </c>
      <c r="L10" s="1267">
        <v>0</v>
      </c>
      <c r="M10" s="1267">
        <v>0</v>
      </c>
      <c r="N10" s="1267">
        <v>0</v>
      </c>
      <c r="O10" s="1267">
        <f t="shared" si="1"/>
        <v>0</v>
      </c>
    </row>
    <row r="11" spans="1:15">
      <c r="A11" s="1347">
        <v>6</v>
      </c>
      <c r="B11" s="1310" t="s">
        <v>85</v>
      </c>
      <c r="C11" s="1266">
        <v>0</v>
      </c>
      <c r="D11" s="1267">
        <v>0</v>
      </c>
      <c r="E11" s="1267">
        <v>0</v>
      </c>
      <c r="F11" s="1267">
        <v>0</v>
      </c>
      <c r="G11" s="1267">
        <v>0</v>
      </c>
      <c r="H11" s="1348">
        <f t="shared" si="0"/>
        <v>0</v>
      </c>
      <c r="I11" s="1349"/>
      <c r="J11" s="1268">
        <v>0</v>
      </c>
      <c r="K11" s="1267">
        <v>0</v>
      </c>
      <c r="L11" s="1267">
        <v>0</v>
      </c>
      <c r="M11" s="1267">
        <v>0</v>
      </c>
      <c r="N11" s="1267">
        <v>0</v>
      </c>
      <c r="O11" s="1267">
        <f t="shared" si="1"/>
        <v>0</v>
      </c>
    </row>
    <row r="12" spans="1:15">
      <c r="A12" s="1347">
        <v>7</v>
      </c>
      <c r="B12" s="1310" t="s">
        <v>17</v>
      </c>
      <c r="C12" s="1266">
        <v>0</v>
      </c>
      <c r="D12" s="1267">
        <v>0</v>
      </c>
      <c r="E12" s="1267">
        <v>0</v>
      </c>
      <c r="F12" s="1267">
        <v>0</v>
      </c>
      <c r="G12" s="1267">
        <v>0</v>
      </c>
      <c r="H12" s="1348">
        <f t="shared" si="0"/>
        <v>0</v>
      </c>
      <c r="I12" s="1349"/>
      <c r="J12" s="1268">
        <v>0</v>
      </c>
      <c r="K12" s="1267">
        <v>0</v>
      </c>
      <c r="L12" s="1267">
        <v>0</v>
      </c>
      <c r="M12" s="1267">
        <v>0</v>
      </c>
      <c r="N12" s="1267">
        <v>0</v>
      </c>
      <c r="O12" s="1267">
        <f t="shared" si="1"/>
        <v>0</v>
      </c>
    </row>
    <row r="13" spans="1:15">
      <c r="A13" s="1347">
        <v>8</v>
      </c>
      <c r="B13" s="1310" t="s">
        <v>26</v>
      </c>
      <c r="C13" s="1266">
        <v>0</v>
      </c>
      <c r="D13" s="1267">
        <v>0</v>
      </c>
      <c r="E13" s="1267">
        <v>0</v>
      </c>
      <c r="F13" s="1267">
        <v>0</v>
      </c>
      <c r="G13" s="1267">
        <v>0</v>
      </c>
      <c r="H13" s="1348">
        <f t="shared" si="0"/>
        <v>0</v>
      </c>
      <c r="I13" s="1349"/>
      <c r="J13" s="1268">
        <v>0</v>
      </c>
      <c r="K13" s="1267">
        <v>0</v>
      </c>
      <c r="L13" s="1267">
        <v>0</v>
      </c>
      <c r="M13" s="1267">
        <v>0</v>
      </c>
      <c r="N13" s="1267">
        <v>0</v>
      </c>
      <c r="O13" s="1267">
        <f t="shared" si="1"/>
        <v>0</v>
      </c>
    </row>
    <row r="14" spans="1:15">
      <c r="A14" s="1347">
        <v>9</v>
      </c>
      <c r="B14" s="1310" t="s">
        <v>11</v>
      </c>
      <c r="C14" s="1266">
        <v>0</v>
      </c>
      <c r="D14" s="1267">
        <v>0</v>
      </c>
      <c r="E14" s="1267">
        <v>0</v>
      </c>
      <c r="F14" s="1267">
        <v>0</v>
      </c>
      <c r="G14" s="1267">
        <v>0</v>
      </c>
      <c r="H14" s="1348">
        <f t="shared" si="0"/>
        <v>0</v>
      </c>
      <c r="I14" s="1349"/>
      <c r="J14" s="1268">
        <v>0</v>
      </c>
      <c r="K14" s="1267">
        <v>0</v>
      </c>
      <c r="L14" s="1267">
        <v>0</v>
      </c>
      <c r="M14" s="1267">
        <v>0</v>
      </c>
      <c r="N14" s="1267">
        <v>0</v>
      </c>
      <c r="O14" s="1267">
        <f t="shared" si="1"/>
        <v>0</v>
      </c>
    </row>
    <row r="15" spans="1:15">
      <c r="A15" s="1347">
        <v>10</v>
      </c>
      <c r="B15" s="1310" t="s">
        <v>90</v>
      </c>
      <c r="C15" s="1266">
        <v>0</v>
      </c>
      <c r="D15" s="1267">
        <v>0</v>
      </c>
      <c r="E15" s="1267">
        <v>0</v>
      </c>
      <c r="F15" s="1267">
        <v>0</v>
      </c>
      <c r="G15" s="1267">
        <v>0</v>
      </c>
      <c r="H15" s="1348">
        <f t="shared" si="0"/>
        <v>0</v>
      </c>
      <c r="I15" s="255"/>
      <c r="J15" s="1268">
        <v>0</v>
      </c>
      <c r="K15" s="1267">
        <v>0</v>
      </c>
      <c r="L15" s="1267">
        <v>0</v>
      </c>
      <c r="M15" s="1267">
        <v>0</v>
      </c>
      <c r="N15" s="1267">
        <v>0</v>
      </c>
      <c r="O15" s="1267">
        <f t="shared" si="1"/>
        <v>0</v>
      </c>
    </row>
    <row r="16" spans="1:15">
      <c r="A16" s="1347">
        <v>11</v>
      </c>
      <c r="B16" s="1310" t="s">
        <v>92</v>
      </c>
      <c r="C16" s="1266">
        <v>0</v>
      </c>
      <c r="D16" s="1267">
        <v>0</v>
      </c>
      <c r="E16" s="1267">
        <v>0</v>
      </c>
      <c r="F16" s="1267">
        <v>0</v>
      </c>
      <c r="G16" s="1267">
        <v>0</v>
      </c>
      <c r="H16" s="1348">
        <f t="shared" si="0"/>
        <v>0</v>
      </c>
      <c r="I16" s="1349"/>
      <c r="J16" s="1268">
        <v>0</v>
      </c>
      <c r="K16" s="1267">
        <v>0</v>
      </c>
      <c r="L16" s="1267">
        <v>0</v>
      </c>
      <c r="M16" s="1267">
        <v>0</v>
      </c>
      <c r="N16" s="1350">
        <v>0</v>
      </c>
      <c r="O16" s="1267">
        <f t="shared" si="1"/>
        <v>0</v>
      </c>
    </row>
    <row r="17" spans="1:15">
      <c r="A17" s="1347">
        <v>12</v>
      </c>
      <c r="B17" s="1310" t="s">
        <v>51</v>
      </c>
      <c r="C17" s="1266">
        <v>0</v>
      </c>
      <c r="D17" s="1267">
        <v>0</v>
      </c>
      <c r="E17" s="1267">
        <v>0</v>
      </c>
      <c r="F17" s="1267">
        <v>0</v>
      </c>
      <c r="G17" s="1267">
        <v>0</v>
      </c>
      <c r="H17" s="1348">
        <f t="shared" si="0"/>
        <v>0</v>
      </c>
      <c r="I17" s="1349"/>
      <c r="J17" s="1268">
        <v>0</v>
      </c>
      <c r="K17" s="1267">
        <v>0</v>
      </c>
      <c r="L17" s="1267">
        <v>0</v>
      </c>
      <c r="M17" s="1267">
        <v>0</v>
      </c>
      <c r="N17" s="1267">
        <v>0</v>
      </c>
      <c r="O17" s="1267">
        <f t="shared" si="1"/>
        <v>0</v>
      </c>
    </row>
    <row r="18" spans="1:15">
      <c r="A18" s="1347">
        <v>13</v>
      </c>
      <c r="B18" s="1310" t="s">
        <v>52</v>
      </c>
      <c r="C18" s="1266">
        <v>0</v>
      </c>
      <c r="D18" s="1267">
        <v>0</v>
      </c>
      <c r="E18" s="1267">
        <v>0</v>
      </c>
      <c r="F18" s="1267">
        <v>0</v>
      </c>
      <c r="G18" s="1267">
        <v>0</v>
      </c>
      <c r="H18" s="1348">
        <f t="shared" si="0"/>
        <v>0</v>
      </c>
      <c r="I18" s="255"/>
      <c r="J18" s="1268">
        <v>0</v>
      </c>
      <c r="K18" s="1267">
        <v>0</v>
      </c>
      <c r="L18" s="1267">
        <v>0</v>
      </c>
      <c r="M18" s="1267">
        <v>0</v>
      </c>
      <c r="N18" s="1267">
        <v>0</v>
      </c>
      <c r="O18" s="1267">
        <f t="shared" si="1"/>
        <v>0</v>
      </c>
    </row>
    <row r="19" spans="1:15">
      <c r="A19" s="1347">
        <v>14</v>
      </c>
      <c r="B19" s="1310" t="s">
        <v>28</v>
      </c>
      <c r="C19" s="1266">
        <v>0</v>
      </c>
      <c r="D19" s="1267">
        <v>0</v>
      </c>
      <c r="E19" s="1267">
        <v>0</v>
      </c>
      <c r="F19" s="1267">
        <v>0</v>
      </c>
      <c r="G19" s="1267">
        <v>0</v>
      </c>
      <c r="H19" s="1348">
        <f t="shared" si="0"/>
        <v>0</v>
      </c>
      <c r="I19" s="1349"/>
      <c r="J19" s="1268">
        <v>0</v>
      </c>
      <c r="K19" s="1267">
        <v>0</v>
      </c>
      <c r="L19" s="1267">
        <v>0</v>
      </c>
      <c r="M19" s="1267">
        <v>0</v>
      </c>
      <c r="N19" s="1267">
        <v>0</v>
      </c>
      <c r="O19" s="1267">
        <f t="shared" si="1"/>
        <v>0</v>
      </c>
    </row>
    <row r="20" spans="1:15">
      <c r="A20" s="1347">
        <v>15</v>
      </c>
      <c r="B20" s="1310" t="s">
        <v>10</v>
      </c>
      <c r="C20" s="1266">
        <v>0</v>
      </c>
      <c r="D20" s="1267">
        <v>0</v>
      </c>
      <c r="E20" s="1267">
        <v>0</v>
      </c>
      <c r="F20" s="1267">
        <v>0</v>
      </c>
      <c r="G20" s="1267">
        <v>0</v>
      </c>
      <c r="H20" s="1348">
        <f>E20-F20</f>
        <v>0</v>
      </c>
      <c r="I20" s="1349"/>
      <c r="J20" s="1268">
        <v>0</v>
      </c>
      <c r="K20" s="1267">
        <v>0</v>
      </c>
      <c r="L20" s="1267">
        <v>0</v>
      </c>
      <c r="M20" s="1267">
        <v>0</v>
      </c>
      <c r="N20" s="1267">
        <v>0</v>
      </c>
      <c r="O20" s="1267">
        <v>0</v>
      </c>
    </row>
    <row r="21" spans="1:15">
      <c r="A21" s="1347">
        <v>16</v>
      </c>
      <c r="B21" s="1310" t="s">
        <v>98</v>
      </c>
      <c r="C21" s="1266">
        <v>0</v>
      </c>
      <c r="D21" s="1267">
        <v>0</v>
      </c>
      <c r="E21" s="1267">
        <v>0</v>
      </c>
      <c r="F21" s="1267">
        <v>0</v>
      </c>
      <c r="G21" s="1267">
        <v>0</v>
      </c>
      <c r="H21" s="1348">
        <f t="shared" si="0"/>
        <v>0</v>
      </c>
      <c r="I21" s="1349"/>
      <c r="J21" s="1268">
        <v>0</v>
      </c>
      <c r="K21" s="1267">
        <v>0</v>
      </c>
      <c r="L21" s="1267">
        <v>0</v>
      </c>
      <c r="M21" s="1267">
        <v>0</v>
      </c>
      <c r="N21" s="1267">
        <v>0</v>
      </c>
      <c r="O21" s="1267">
        <f t="shared" si="1"/>
        <v>0</v>
      </c>
    </row>
    <row r="22" spans="1:15">
      <c r="A22" s="1347">
        <v>17</v>
      </c>
      <c r="B22" s="1310" t="s">
        <v>35</v>
      </c>
      <c r="C22" s="1266">
        <v>0</v>
      </c>
      <c r="D22" s="1267">
        <v>30.7</v>
      </c>
      <c r="E22" s="1267">
        <v>0</v>
      </c>
      <c r="F22" s="1267">
        <v>0</v>
      </c>
      <c r="G22" s="1267">
        <v>0</v>
      </c>
      <c r="H22" s="1348">
        <f t="shared" si="0"/>
        <v>0</v>
      </c>
      <c r="I22" s="1351"/>
      <c r="J22" s="1268">
        <v>0</v>
      </c>
      <c r="K22" s="1267">
        <v>0</v>
      </c>
      <c r="L22" s="1267">
        <v>0</v>
      </c>
      <c r="M22" s="1267">
        <v>0</v>
      </c>
      <c r="N22" s="1267">
        <v>0</v>
      </c>
      <c r="O22" s="1267">
        <f t="shared" si="1"/>
        <v>0</v>
      </c>
    </row>
    <row r="23" spans="1:15">
      <c r="A23" s="1347">
        <v>18</v>
      </c>
      <c r="B23" s="1310" t="s">
        <v>54</v>
      </c>
      <c r="C23" s="1266">
        <v>0</v>
      </c>
      <c r="D23" s="1267">
        <v>20</v>
      </c>
      <c r="E23" s="1267">
        <v>0</v>
      </c>
      <c r="F23" s="1267">
        <v>0</v>
      </c>
      <c r="G23" s="1267">
        <v>0</v>
      </c>
      <c r="H23" s="1348">
        <f t="shared" si="0"/>
        <v>0</v>
      </c>
      <c r="I23" s="1349"/>
      <c r="J23" s="1268">
        <v>0</v>
      </c>
      <c r="K23" s="1267">
        <v>0</v>
      </c>
      <c r="L23" s="1267">
        <v>0</v>
      </c>
      <c r="M23" s="1267">
        <v>0</v>
      </c>
      <c r="N23" s="1267">
        <v>0</v>
      </c>
      <c r="O23" s="1267">
        <f t="shared" si="1"/>
        <v>0</v>
      </c>
    </row>
    <row r="24" spans="1:15">
      <c r="A24" s="1347">
        <v>19</v>
      </c>
      <c r="B24" s="1310" t="s">
        <v>102</v>
      </c>
      <c r="C24" s="1266">
        <v>0</v>
      </c>
      <c r="D24" s="1267">
        <v>0</v>
      </c>
      <c r="E24" s="1267">
        <v>0</v>
      </c>
      <c r="F24" s="1267">
        <v>0</v>
      </c>
      <c r="G24" s="1267">
        <v>0</v>
      </c>
      <c r="H24" s="1348">
        <f t="shared" si="0"/>
        <v>0</v>
      </c>
      <c r="I24" s="255"/>
      <c r="J24" s="1268">
        <v>0</v>
      </c>
      <c r="K24" s="1267">
        <v>0</v>
      </c>
      <c r="L24" s="1267">
        <v>0</v>
      </c>
      <c r="M24" s="1267">
        <v>0</v>
      </c>
      <c r="N24" s="1267">
        <v>0</v>
      </c>
      <c r="O24" s="1267">
        <f t="shared" si="1"/>
        <v>0</v>
      </c>
    </row>
    <row r="25" spans="1:15">
      <c r="A25" s="1347">
        <v>20</v>
      </c>
      <c r="B25" s="1310" t="s">
        <v>104</v>
      </c>
      <c r="C25" s="1266">
        <v>0</v>
      </c>
      <c r="D25" s="1267">
        <v>0</v>
      </c>
      <c r="E25" s="1267">
        <v>0</v>
      </c>
      <c r="F25" s="1267">
        <v>0</v>
      </c>
      <c r="G25" s="1267">
        <v>0</v>
      </c>
      <c r="H25" s="1348">
        <f t="shared" si="0"/>
        <v>0</v>
      </c>
      <c r="I25" s="1349"/>
      <c r="J25" s="1268">
        <v>0</v>
      </c>
      <c r="K25" s="1267">
        <v>0</v>
      </c>
      <c r="L25" s="1267">
        <v>0</v>
      </c>
      <c r="M25" s="1267">
        <v>0</v>
      </c>
      <c r="N25" s="1267">
        <v>0</v>
      </c>
      <c r="O25" s="1267">
        <f t="shared" si="1"/>
        <v>0</v>
      </c>
    </row>
    <row r="26" spans="1:15">
      <c r="A26" s="1347">
        <v>21</v>
      </c>
      <c r="B26" s="1310" t="s">
        <v>106</v>
      </c>
      <c r="C26" s="1266">
        <v>0</v>
      </c>
      <c r="D26" s="1267">
        <v>0</v>
      </c>
      <c r="E26" s="1267">
        <v>0</v>
      </c>
      <c r="F26" s="1267">
        <v>0</v>
      </c>
      <c r="G26" s="1267">
        <v>0</v>
      </c>
      <c r="H26" s="1348">
        <f t="shared" si="0"/>
        <v>0</v>
      </c>
      <c r="I26" s="1349"/>
      <c r="J26" s="1268">
        <v>0</v>
      </c>
      <c r="K26" s="1267">
        <v>0</v>
      </c>
      <c r="L26" s="1267">
        <v>0</v>
      </c>
      <c r="M26" s="1267">
        <v>0</v>
      </c>
      <c r="N26" s="1267">
        <v>0</v>
      </c>
      <c r="O26" s="1267">
        <f t="shared" si="1"/>
        <v>0</v>
      </c>
    </row>
    <row r="27" spans="1:15">
      <c r="A27" s="1347">
        <v>22</v>
      </c>
      <c r="B27" s="1310" t="s">
        <v>108</v>
      </c>
      <c r="C27" s="1266">
        <v>0</v>
      </c>
      <c r="D27" s="1267">
        <v>0</v>
      </c>
      <c r="E27" s="1267">
        <v>0</v>
      </c>
      <c r="F27" s="1267">
        <v>0</v>
      </c>
      <c r="G27" s="1267">
        <v>0</v>
      </c>
      <c r="H27" s="1348">
        <v>0</v>
      </c>
      <c r="I27" s="255"/>
      <c r="J27" s="1268">
        <v>0</v>
      </c>
      <c r="K27" s="1267">
        <v>0</v>
      </c>
      <c r="L27" s="1267">
        <v>0</v>
      </c>
      <c r="M27" s="1267">
        <v>0</v>
      </c>
      <c r="N27" s="1267">
        <v>0</v>
      </c>
      <c r="O27" s="1267">
        <f t="shared" si="1"/>
        <v>0</v>
      </c>
    </row>
    <row r="28" spans="1:15">
      <c r="A28" s="1309" t="s">
        <v>113</v>
      </c>
      <c r="B28" s="1311" t="s">
        <v>13</v>
      </c>
      <c r="C28" s="1311">
        <v>0</v>
      </c>
      <c r="D28" s="1352">
        <v>0</v>
      </c>
      <c r="E28" s="1352">
        <f>SUM(E6:E27)</f>
        <v>0</v>
      </c>
      <c r="F28" s="1352">
        <f>SUM(F6:F27)</f>
        <v>0</v>
      </c>
      <c r="G28" s="1352">
        <v>0</v>
      </c>
      <c r="H28" s="1353">
        <f>SUM(H6:H27)</f>
        <v>0</v>
      </c>
      <c r="I28" s="1314"/>
      <c r="J28" s="1273">
        <f t="shared" ref="J28:O28" si="2">SUM(J6:J27)</f>
        <v>0</v>
      </c>
      <c r="K28" s="1272">
        <f t="shared" si="2"/>
        <v>0</v>
      </c>
      <c r="L28" s="1272">
        <f t="shared" si="2"/>
        <v>0</v>
      </c>
      <c r="M28" s="1272">
        <f t="shared" si="2"/>
        <v>0</v>
      </c>
      <c r="N28" s="1272">
        <f t="shared" si="2"/>
        <v>0</v>
      </c>
      <c r="O28" s="1272">
        <f t="shared" si="2"/>
        <v>0</v>
      </c>
    </row>
    <row r="29" spans="1:15">
      <c r="A29" s="1347">
        <v>1</v>
      </c>
      <c r="B29" s="1310" t="s">
        <v>16</v>
      </c>
      <c r="C29" s="1266">
        <v>0</v>
      </c>
      <c r="D29" s="1267">
        <v>0</v>
      </c>
      <c r="E29" s="1267">
        <v>0</v>
      </c>
      <c r="F29" s="1267">
        <v>0</v>
      </c>
      <c r="G29" s="1277">
        <v>0</v>
      </c>
      <c r="H29" s="1348">
        <v>0</v>
      </c>
      <c r="I29" s="1349"/>
      <c r="J29" s="1268">
        <v>0</v>
      </c>
      <c r="K29" s="1267">
        <v>0</v>
      </c>
      <c r="L29" s="1267">
        <v>0</v>
      </c>
      <c r="M29" s="1267">
        <v>0</v>
      </c>
      <c r="N29" s="1267">
        <v>0</v>
      </c>
      <c r="O29" s="1267">
        <f>L29-M29</f>
        <v>0</v>
      </c>
    </row>
    <row r="30" spans="1:15">
      <c r="A30" s="1354">
        <v>1</v>
      </c>
      <c r="B30" s="1355" t="s">
        <v>110</v>
      </c>
      <c r="C30" s="1276">
        <v>0</v>
      </c>
      <c r="D30" s="1277">
        <v>0</v>
      </c>
      <c r="E30" s="1277">
        <v>0</v>
      </c>
      <c r="F30" s="1351">
        <v>0</v>
      </c>
      <c r="G30" s="1356">
        <v>0</v>
      </c>
      <c r="H30" s="1357">
        <v>0</v>
      </c>
      <c r="I30" s="1349"/>
      <c r="J30" s="1278">
        <v>0</v>
      </c>
      <c r="K30" s="1277">
        <v>0</v>
      </c>
      <c r="L30" s="1277">
        <v>0</v>
      </c>
      <c r="M30" s="1277">
        <v>0</v>
      </c>
      <c r="N30" s="1267">
        <v>0</v>
      </c>
      <c r="O30" s="1267">
        <v>0</v>
      </c>
    </row>
    <row r="31" spans="1:15">
      <c r="A31" s="1315" t="s">
        <v>135</v>
      </c>
      <c r="B31" s="1315" t="s">
        <v>13</v>
      </c>
      <c r="C31" s="1315">
        <v>0</v>
      </c>
      <c r="D31" s="1313">
        <v>0</v>
      </c>
      <c r="E31" s="1313">
        <f>SUM(E28:E30)</f>
        <v>0</v>
      </c>
      <c r="F31" s="1313">
        <f>SUM(F28:F30)</f>
        <v>0</v>
      </c>
      <c r="G31" s="1358">
        <v>0</v>
      </c>
      <c r="H31" s="1313">
        <f>SUM(H28:H30)</f>
        <v>0</v>
      </c>
      <c r="I31" s="1314"/>
      <c r="J31" s="1279">
        <f t="shared" ref="J31:O31" si="3">SUM(J28:J30)</f>
        <v>0</v>
      </c>
      <c r="K31" s="1280">
        <f t="shared" si="3"/>
        <v>0</v>
      </c>
      <c r="L31" s="1280">
        <f t="shared" si="3"/>
        <v>0</v>
      </c>
      <c r="M31" s="1280">
        <f t="shared" si="3"/>
        <v>0</v>
      </c>
      <c r="N31" s="1280">
        <v>0</v>
      </c>
      <c r="O31" s="1280">
        <f t="shared" si="3"/>
        <v>0</v>
      </c>
    </row>
    <row r="32" spans="1:15">
      <c r="A32" s="1608" t="s">
        <v>241</v>
      </c>
      <c r="B32" s="1609"/>
      <c r="C32" s="1315"/>
      <c r="D32" s="1313"/>
      <c r="E32" s="1313"/>
      <c r="F32" s="1313"/>
      <c r="G32" s="1313"/>
      <c r="H32" s="1313"/>
      <c r="I32" s="1314"/>
      <c r="J32" s="1315"/>
      <c r="K32" s="1315"/>
      <c r="L32" s="1313"/>
      <c r="M32" s="1313"/>
      <c r="N32" s="1352"/>
      <c r="O32" s="1313"/>
    </row>
  </sheetData>
  <mergeCells count="6">
    <mergeCell ref="A32:B32"/>
    <mergeCell ref="A1:O1"/>
    <mergeCell ref="A2:H2"/>
    <mergeCell ref="J2:O2"/>
    <mergeCell ref="F3:K3"/>
    <mergeCell ref="L3:O3"/>
  </mergeCells>
  <printOptions gridLines="1"/>
  <pageMargins left="0.7" right="0.7" top="0.75" bottom="0.75" header="0.3" footer="0.3"/>
  <pageSetup paperSize="9" scale="95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N4" sqref="N4"/>
    </sheetView>
  </sheetViews>
  <sheetFormatPr defaultRowHeight="15"/>
  <cols>
    <col min="4" max="4" width="9.5703125" bestFit="1" customWidth="1"/>
  </cols>
  <sheetData>
    <row r="1" spans="1:11" ht="15.75">
      <c r="A1" s="1482">
        <v>43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pans="1:11" ht="18">
      <c r="A2" s="1614" t="s">
        <v>387</v>
      </c>
      <c r="B2" s="1614"/>
      <c r="C2" s="1614"/>
      <c r="D2" s="1614"/>
      <c r="E2" s="1614"/>
      <c r="F2" s="1614"/>
      <c r="G2" s="233"/>
      <c r="H2" s="1614" t="s">
        <v>388</v>
      </c>
      <c r="I2" s="1614"/>
      <c r="J2" s="1614"/>
      <c r="K2" s="1614"/>
    </row>
    <row r="3" spans="1:11" ht="15.75">
      <c r="A3" s="172"/>
      <c r="B3" s="172"/>
      <c r="C3" s="172"/>
      <c r="D3" s="172"/>
      <c r="E3" s="1531" t="s">
        <v>602</v>
      </c>
      <c r="F3" s="1531"/>
      <c r="G3" s="1531"/>
      <c r="H3" s="1531"/>
      <c r="I3" s="297"/>
      <c r="J3" s="1610" t="s">
        <v>389</v>
      </c>
      <c r="K3" s="1610"/>
    </row>
    <row r="4" spans="1:11" ht="90">
      <c r="A4" s="298" t="s">
        <v>130</v>
      </c>
      <c r="B4" s="298" t="s">
        <v>131</v>
      </c>
      <c r="C4" s="298" t="s">
        <v>390</v>
      </c>
      <c r="D4" s="298" t="s">
        <v>391</v>
      </c>
      <c r="E4" s="298" t="s">
        <v>392</v>
      </c>
      <c r="F4" s="298" t="s">
        <v>393</v>
      </c>
      <c r="G4" s="299"/>
      <c r="H4" s="298" t="s">
        <v>131</v>
      </c>
      <c r="I4" s="298" t="s">
        <v>394</v>
      </c>
      <c r="J4" s="298" t="s">
        <v>395</v>
      </c>
      <c r="K4" s="300" t="s">
        <v>396</v>
      </c>
    </row>
    <row r="5" spans="1:11">
      <c r="A5" s="290">
        <v>1</v>
      </c>
      <c r="B5" s="290" t="s">
        <v>78</v>
      </c>
      <c r="C5" s="1359">
        <v>0</v>
      </c>
      <c r="D5" s="1228">
        <v>304</v>
      </c>
      <c r="E5" s="1359">
        <v>0</v>
      </c>
      <c r="F5" s="1228">
        <v>0</v>
      </c>
      <c r="G5" s="301"/>
      <c r="H5" s="290" t="s">
        <v>78</v>
      </c>
      <c r="I5" s="290">
        <v>0</v>
      </c>
      <c r="J5" s="290">
        <v>0</v>
      </c>
      <c r="K5" s="302">
        <v>0</v>
      </c>
    </row>
    <row r="6" spans="1:11">
      <c r="A6" s="290">
        <v>2</v>
      </c>
      <c r="B6" s="290" t="s">
        <v>27</v>
      </c>
      <c r="C6" s="1359">
        <v>0</v>
      </c>
      <c r="D6" s="1228">
        <v>29.869999999999997</v>
      </c>
      <c r="E6" s="1359">
        <v>0</v>
      </c>
      <c r="F6" s="1228">
        <v>0</v>
      </c>
      <c r="G6" s="301"/>
      <c r="H6" s="290" t="s">
        <v>27</v>
      </c>
      <c r="I6" s="290">
        <v>0</v>
      </c>
      <c r="J6" s="290">
        <v>0</v>
      </c>
      <c r="K6" s="302">
        <v>0</v>
      </c>
    </row>
    <row r="7" spans="1:11">
      <c r="A7" s="290">
        <v>3</v>
      </c>
      <c r="B7" s="290" t="s">
        <v>46</v>
      </c>
      <c r="C7" s="1359">
        <v>0</v>
      </c>
      <c r="D7" s="1228">
        <v>110</v>
      </c>
      <c r="E7" s="1359">
        <v>0</v>
      </c>
      <c r="F7" s="1228">
        <v>0</v>
      </c>
      <c r="G7" s="301"/>
      <c r="H7" s="290" t="s">
        <v>46</v>
      </c>
      <c r="I7" s="290">
        <v>0</v>
      </c>
      <c r="J7" s="290">
        <v>0</v>
      </c>
      <c r="K7" s="302">
        <v>0</v>
      </c>
    </row>
    <row r="8" spans="1:11">
      <c r="A8" s="290">
        <v>4</v>
      </c>
      <c r="B8" s="290" t="s">
        <v>32</v>
      </c>
      <c r="C8" s="1359">
        <v>0</v>
      </c>
      <c r="D8" s="1228">
        <v>457.72999999999996</v>
      </c>
      <c r="E8" s="1359">
        <v>0</v>
      </c>
      <c r="F8" s="1228">
        <v>0</v>
      </c>
      <c r="G8" s="301"/>
      <c r="H8" s="290" t="s">
        <v>32</v>
      </c>
      <c r="I8" s="290">
        <v>0</v>
      </c>
      <c r="J8" s="290">
        <v>0</v>
      </c>
      <c r="K8" s="302">
        <v>0</v>
      </c>
    </row>
    <row r="9" spans="1:11">
      <c r="A9" s="290">
        <v>5</v>
      </c>
      <c r="B9" s="290" t="s">
        <v>83</v>
      </c>
      <c r="C9" s="1359">
        <v>0</v>
      </c>
      <c r="D9" s="1228">
        <v>143.94999999999999</v>
      </c>
      <c r="E9" s="1359">
        <v>0</v>
      </c>
      <c r="F9" s="1228">
        <v>0</v>
      </c>
      <c r="G9" s="301"/>
      <c r="H9" s="290" t="s">
        <v>83</v>
      </c>
      <c r="I9" s="290">
        <v>0</v>
      </c>
      <c r="J9" s="290">
        <v>0</v>
      </c>
      <c r="K9" s="302">
        <v>0</v>
      </c>
    </row>
    <row r="10" spans="1:11">
      <c r="A10" s="290">
        <v>6</v>
      </c>
      <c r="B10" s="290" t="s">
        <v>85</v>
      </c>
      <c r="C10" s="1359">
        <v>0</v>
      </c>
      <c r="D10" s="1228">
        <v>3595</v>
      </c>
      <c r="E10" s="1359">
        <v>0</v>
      </c>
      <c r="F10" s="1228">
        <v>0</v>
      </c>
      <c r="G10" s="301"/>
      <c r="H10" s="290" t="s">
        <v>85</v>
      </c>
      <c r="I10" s="290">
        <v>0</v>
      </c>
      <c r="J10" s="290">
        <v>0</v>
      </c>
      <c r="K10" s="302">
        <v>0</v>
      </c>
    </row>
    <row r="11" spans="1:11">
      <c r="A11" s="290">
        <v>7</v>
      </c>
      <c r="B11" s="290" t="s">
        <v>17</v>
      </c>
      <c r="C11" s="1359">
        <v>0</v>
      </c>
      <c r="D11" s="1228">
        <v>565</v>
      </c>
      <c r="E11" s="1359">
        <v>0</v>
      </c>
      <c r="F11" s="1228">
        <v>0</v>
      </c>
      <c r="G11" s="301"/>
      <c r="H11" s="290" t="s">
        <v>17</v>
      </c>
      <c r="I11" s="290">
        <v>0</v>
      </c>
      <c r="J11" s="290">
        <v>0</v>
      </c>
      <c r="K11" s="302">
        <v>0</v>
      </c>
    </row>
    <row r="12" spans="1:11">
      <c r="A12" s="1235">
        <v>8</v>
      </c>
      <c r="B12" s="1235" t="s">
        <v>26</v>
      </c>
      <c r="C12" s="434">
        <v>0</v>
      </c>
      <c r="D12" s="353">
        <v>119.77000000000001</v>
      </c>
      <c r="E12" s="434">
        <v>0</v>
      </c>
      <c r="F12" s="353">
        <v>0</v>
      </c>
      <c r="G12" s="1242"/>
      <c r="H12" s="1235" t="s">
        <v>26</v>
      </c>
      <c r="I12" s="1235">
        <v>0</v>
      </c>
      <c r="J12" s="1235">
        <v>0</v>
      </c>
      <c r="K12" s="646">
        <v>0</v>
      </c>
    </row>
    <row r="13" spans="1:11">
      <c r="A13" s="290">
        <v>9</v>
      </c>
      <c r="B13" s="290" t="s">
        <v>11</v>
      </c>
      <c r="C13" s="1359">
        <v>0</v>
      </c>
      <c r="D13" s="1228">
        <v>0</v>
      </c>
      <c r="E13" s="1359">
        <v>0</v>
      </c>
      <c r="F13" s="1228">
        <v>0</v>
      </c>
      <c r="G13" s="301"/>
      <c r="H13" s="290" t="s">
        <v>11</v>
      </c>
      <c r="I13" s="290">
        <v>0</v>
      </c>
      <c r="J13" s="290">
        <v>0</v>
      </c>
      <c r="K13" s="302">
        <v>0</v>
      </c>
    </row>
    <row r="14" spans="1:11">
      <c r="A14" s="290">
        <v>10</v>
      </c>
      <c r="B14" s="290" t="s">
        <v>90</v>
      </c>
      <c r="C14" s="1359">
        <v>0</v>
      </c>
      <c r="D14" s="1228">
        <v>373.19</v>
      </c>
      <c r="E14" s="1359">
        <v>0</v>
      </c>
      <c r="F14" s="1228">
        <v>0</v>
      </c>
      <c r="G14" s="301"/>
      <c r="H14" s="290" t="s">
        <v>90</v>
      </c>
      <c r="I14" s="290">
        <v>0</v>
      </c>
      <c r="J14" s="290">
        <v>0</v>
      </c>
      <c r="K14" s="302">
        <v>0</v>
      </c>
    </row>
    <row r="15" spans="1:11">
      <c r="A15" s="290">
        <v>11</v>
      </c>
      <c r="B15" s="290" t="s">
        <v>92</v>
      </c>
      <c r="C15" s="1359">
        <v>0</v>
      </c>
      <c r="D15" s="1228">
        <v>141.74</v>
      </c>
      <c r="E15" s="1359">
        <v>0</v>
      </c>
      <c r="F15" s="1228">
        <v>0</v>
      </c>
      <c r="G15" s="301"/>
      <c r="H15" s="290" t="s">
        <v>92</v>
      </c>
      <c r="I15" s="290">
        <v>0</v>
      </c>
      <c r="J15" s="290">
        <v>0</v>
      </c>
      <c r="K15" s="302">
        <v>0</v>
      </c>
    </row>
    <row r="16" spans="1:11">
      <c r="A16" s="290">
        <v>12</v>
      </c>
      <c r="B16" s="290" t="s">
        <v>51</v>
      </c>
      <c r="C16" s="1359">
        <v>0</v>
      </c>
      <c r="D16" s="1228">
        <v>13.68</v>
      </c>
      <c r="E16" s="1359">
        <v>0</v>
      </c>
      <c r="F16" s="1228">
        <v>0</v>
      </c>
      <c r="G16" s="301"/>
      <c r="H16" s="290" t="s">
        <v>51</v>
      </c>
      <c r="I16" s="290">
        <v>0</v>
      </c>
      <c r="J16" s="290">
        <v>0</v>
      </c>
      <c r="K16" s="302">
        <v>0</v>
      </c>
    </row>
    <row r="17" spans="1:11">
      <c r="A17" s="290">
        <v>13</v>
      </c>
      <c r="B17" s="290" t="s">
        <v>52</v>
      </c>
      <c r="C17" s="1359">
        <v>5</v>
      </c>
      <c r="D17" s="1228">
        <v>24.28</v>
      </c>
      <c r="E17" s="1359">
        <v>0</v>
      </c>
      <c r="F17" s="1228">
        <v>0</v>
      </c>
      <c r="G17" s="301"/>
      <c r="H17" s="290" t="s">
        <v>52</v>
      </c>
      <c r="I17" s="290">
        <v>0</v>
      </c>
      <c r="J17" s="290">
        <v>0</v>
      </c>
      <c r="K17" s="302">
        <v>0</v>
      </c>
    </row>
    <row r="18" spans="1:11">
      <c r="A18" s="290">
        <v>14</v>
      </c>
      <c r="B18" s="290" t="s">
        <v>28</v>
      </c>
      <c r="C18" s="1359">
        <v>0</v>
      </c>
      <c r="D18" s="1228">
        <v>2249.56</v>
      </c>
      <c r="E18" s="1359">
        <v>0</v>
      </c>
      <c r="F18" s="1228">
        <v>0</v>
      </c>
      <c r="G18" s="301"/>
      <c r="H18" s="290" t="s">
        <v>28</v>
      </c>
      <c r="I18" s="290">
        <v>0</v>
      </c>
      <c r="J18" s="290">
        <v>0</v>
      </c>
      <c r="K18" s="302">
        <v>0</v>
      </c>
    </row>
    <row r="19" spans="1:11">
      <c r="A19" s="1235">
        <v>15</v>
      </c>
      <c r="B19" s="1235" t="s">
        <v>10</v>
      </c>
      <c r="C19" s="1235">
        <v>0</v>
      </c>
      <c r="D19" s="646">
        <v>8032.52</v>
      </c>
      <c r="E19" s="1235">
        <v>0</v>
      </c>
      <c r="F19" s="646">
        <v>0</v>
      </c>
      <c r="G19" s="1242"/>
      <c r="H19" s="1235" t="s">
        <v>10</v>
      </c>
      <c r="I19" s="1235">
        <v>0</v>
      </c>
      <c r="J19" s="1235">
        <v>0</v>
      </c>
      <c r="K19" s="646">
        <v>0</v>
      </c>
    </row>
    <row r="20" spans="1:11">
      <c r="A20" s="290">
        <v>16</v>
      </c>
      <c r="B20" s="290" t="s">
        <v>98</v>
      </c>
      <c r="C20" s="1359">
        <v>0</v>
      </c>
      <c r="D20" s="1228">
        <v>297.27</v>
      </c>
      <c r="E20" s="1359">
        <v>0</v>
      </c>
      <c r="F20" s="1228">
        <v>0</v>
      </c>
      <c r="G20" s="301"/>
      <c r="H20" s="290" t="s">
        <v>98</v>
      </c>
      <c r="I20" s="290">
        <v>0</v>
      </c>
      <c r="J20" s="290">
        <v>0</v>
      </c>
      <c r="K20" s="302">
        <v>0</v>
      </c>
    </row>
    <row r="21" spans="1:11">
      <c r="A21" s="290">
        <v>17</v>
      </c>
      <c r="B21" s="290" t="s">
        <v>35</v>
      </c>
      <c r="C21" s="290">
        <v>0</v>
      </c>
      <c r="D21" s="302">
        <v>33.129999999999995</v>
      </c>
      <c r="E21" s="290">
        <v>0</v>
      </c>
      <c r="F21" s="302">
        <v>1.4</v>
      </c>
      <c r="G21" s="301"/>
      <c r="H21" s="290" t="s">
        <v>35</v>
      </c>
      <c r="I21" s="290">
        <v>0</v>
      </c>
      <c r="J21" s="290">
        <v>0</v>
      </c>
      <c r="K21" s="302">
        <v>0</v>
      </c>
    </row>
    <row r="22" spans="1:11">
      <c r="A22" s="290">
        <v>18</v>
      </c>
      <c r="B22" s="290" t="s">
        <v>54</v>
      </c>
      <c r="C22" s="1359">
        <v>0</v>
      </c>
      <c r="D22" s="1228">
        <v>4039.2700000000004</v>
      </c>
      <c r="E22" s="1359">
        <v>0</v>
      </c>
      <c r="F22" s="1228">
        <v>0</v>
      </c>
      <c r="G22" s="301"/>
      <c r="H22" s="290" t="s">
        <v>54</v>
      </c>
      <c r="I22" s="290">
        <v>0</v>
      </c>
      <c r="J22" s="290">
        <v>0</v>
      </c>
      <c r="K22" s="302">
        <v>0</v>
      </c>
    </row>
    <row r="23" spans="1:11">
      <c r="A23" s="290">
        <v>19</v>
      </c>
      <c r="B23" s="290" t="s">
        <v>102</v>
      </c>
      <c r="C23" s="1359">
        <v>0</v>
      </c>
      <c r="D23" s="1228">
        <v>48.2</v>
      </c>
      <c r="E23" s="1359">
        <v>0</v>
      </c>
      <c r="F23" s="1228">
        <v>0</v>
      </c>
      <c r="G23" s="301"/>
      <c r="H23" s="290" t="s">
        <v>102</v>
      </c>
      <c r="I23" s="290">
        <v>0</v>
      </c>
      <c r="J23" s="290">
        <v>0</v>
      </c>
      <c r="K23" s="302">
        <v>0</v>
      </c>
    </row>
    <row r="24" spans="1:11">
      <c r="A24" s="290">
        <v>20</v>
      </c>
      <c r="B24" s="290" t="s">
        <v>104</v>
      </c>
      <c r="C24" s="1359">
        <v>0</v>
      </c>
      <c r="D24" s="1228">
        <v>1186.7</v>
      </c>
      <c r="E24" s="1359">
        <v>0</v>
      </c>
      <c r="F24" s="1228">
        <v>0</v>
      </c>
      <c r="G24" s="301"/>
      <c r="H24" s="290" t="s">
        <v>104</v>
      </c>
      <c r="I24" s="290">
        <v>0</v>
      </c>
      <c r="J24" s="290">
        <v>0</v>
      </c>
      <c r="K24" s="302">
        <v>0</v>
      </c>
    </row>
    <row r="25" spans="1:11">
      <c r="A25" s="290">
        <v>21</v>
      </c>
      <c r="B25" s="290" t="s">
        <v>106</v>
      </c>
      <c r="C25" s="1359">
        <v>0</v>
      </c>
      <c r="D25" s="1228">
        <v>0</v>
      </c>
      <c r="E25" s="1359">
        <v>0</v>
      </c>
      <c r="F25" s="1228">
        <v>0</v>
      </c>
      <c r="G25" s="301"/>
      <c r="H25" s="290" t="s">
        <v>106</v>
      </c>
      <c r="I25" s="290">
        <v>0</v>
      </c>
      <c r="J25" s="290">
        <v>0</v>
      </c>
      <c r="K25" s="302">
        <v>0</v>
      </c>
    </row>
    <row r="26" spans="1:11">
      <c r="A26" s="290">
        <v>22</v>
      </c>
      <c r="B26" s="290" t="s">
        <v>108</v>
      </c>
      <c r="C26" s="1360">
        <v>0</v>
      </c>
      <c r="D26" s="1361">
        <v>0</v>
      </c>
      <c r="E26" s="1360">
        <v>0</v>
      </c>
      <c r="F26" s="1361">
        <v>0</v>
      </c>
      <c r="G26" s="301"/>
      <c r="H26" s="290" t="s">
        <v>108</v>
      </c>
      <c r="I26" s="290">
        <v>0</v>
      </c>
      <c r="J26" s="290">
        <v>0</v>
      </c>
      <c r="K26" s="302">
        <v>0</v>
      </c>
    </row>
    <row r="27" spans="1:11">
      <c r="A27" s="1362" t="s">
        <v>113</v>
      </c>
      <c r="B27" s="1362" t="s">
        <v>13</v>
      </c>
      <c r="C27" s="1362">
        <f>SUM(C5:C26)</f>
        <v>5</v>
      </c>
      <c r="D27" s="1363">
        <f>SUM(D5:D26)</f>
        <v>21764.860000000004</v>
      </c>
      <c r="E27" s="1362">
        <f>SUM(E5:E26)</f>
        <v>0</v>
      </c>
      <c r="F27" s="1363">
        <f>SUM(F5:F26)</f>
        <v>1.4</v>
      </c>
      <c r="G27" s="1364"/>
      <c r="H27" s="1362" t="s">
        <v>13</v>
      </c>
      <c r="I27" s="1362">
        <f>SUM(I5:I26)</f>
        <v>0</v>
      </c>
      <c r="J27" s="1362">
        <f>SUM(J5:J26)</f>
        <v>0</v>
      </c>
      <c r="K27" s="1363">
        <f>SUM(K5:K26)</f>
        <v>0</v>
      </c>
    </row>
    <row r="28" spans="1:11">
      <c r="A28" s="290">
        <v>1</v>
      </c>
      <c r="B28" s="290" t="s">
        <v>16</v>
      </c>
      <c r="C28" s="290">
        <v>0</v>
      </c>
      <c r="D28" s="302">
        <v>0</v>
      </c>
      <c r="E28" s="290">
        <v>0</v>
      </c>
      <c r="F28" s="302">
        <v>0</v>
      </c>
      <c r="G28" s="301"/>
      <c r="H28" s="290" t="s">
        <v>16</v>
      </c>
      <c r="I28" s="290">
        <v>0</v>
      </c>
      <c r="J28" s="290">
        <v>0</v>
      </c>
      <c r="K28" s="302">
        <v>0</v>
      </c>
    </row>
    <row r="29" spans="1:11">
      <c r="A29" s="290">
        <v>1</v>
      </c>
      <c r="B29" s="290" t="s">
        <v>110</v>
      </c>
      <c r="C29" s="290">
        <v>0</v>
      </c>
      <c r="D29" s="302">
        <v>0</v>
      </c>
      <c r="E29" s="290">
        <v>0</v>
      </c>
      <c r="F29" s="302">
        <v>0</v>
      </c>
      <c r="G29" s="301"/>
      <c r="H29" s="290" t="s">
        <v>110</v>
      </c>
      <c r="I29" s="290">
        <v>0</v>
      </c>
      <c r="J29" s="290">
        <v>0</v>
      </c>
      <c r="K29" s="302">
        <v>0</v>
      </c>
    </row>
    <row r="30" spans="1:11">
      <c r="A30" s="1362" t="s">
        <v>135</v>
      </c>
      <c r="B30" s="1362" t="s">
        <v>13</v>
      </c>
      <c r="C30" s="1362">
        <f>SUM(C27:C29)</f>
        <v>5</v>
      </c>
      <c r="D30" s="1363">
        <f>SUM(D27:D29)</f>
        <v>21764.860000000004</v>
      </c>
      <c r="E30" s="1362">
        <f>SUM(E27:E29)</f>
        <v>0</v>
      </c>
      <c r="F30" s="1363">
        <f>SUM(F27:F29)</f>
        <v>1.4</v>
      </c>
      <c r="G30" s="1364"/>
      <c r="H30" s="1362" t="s">
        <v>63</v>
      </c>
      <c r="I30" s="1365">
        <f>SUM(I27:I29)</f>
        <v>0</v>
      </c>
      <c r="J30" s="1365">
        <f>SUM(J27:J29)</f>
        <v>0</v>
      </c>
      <c r="K30" s="1363">
        <f>SUM(K27:K29)</f>
        <v>0</v>
      </c>
    </row>
    <row r="31" spans="1:11">
      <c r="A31" s="1612" t="s">
        <v>136</v>
      </c>
      <c r="B31" s="1613"/>
      <c r="C31" s="1366">
        <v>0</v>
      </c>
      <c r="D31" s="1367">
        <v>0</v>
      </c>
      <c r="E31" s="290">
        <v>0</v>
      </c>
      <c r="F31" s="302">
        <v>0</v>
      </c>
      <c r="G31" s="301"/>
      <c r="H31" s="1612"/>
      <c r="I31" s="1613"/>
      <c r="J31" s="290"/>
      <c r="K31" s="302"/>
    </row>
  </sheetData>
  <mergeCells count="7">
    <mergeCell ref="A31:B31"/>
    <mergeCell ref="H31:I31"/>
    <mergeCell ref="A1:K1"/>
    <mergeCell ref="A2:F2"/>
    <mergeCell ref="H2:K2"/>
    <mergeCell ref="E3:H3"/>
    <mergeCell ref="J3:K3"/>
  </mergeCells>
  <printOptions gridLines="1"/>
  <pageMargins left="0.7" right="0.7" top="0.75" bottom="0.75" header="0.3" footer="0.3"/>
  <pageSetup scale="95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M28" sqref="M28"/>
    </sheetView>
  </sheetViews>
  <sheetFormatPr defaultRowHeight="15"/>
  <sheetData>
    <row r="1" spans="1:10" ht="15.75">
      <c r="A1" s="1482">
        <v>44</v>
      </c>
      <c r="B1" s="1482"/>
      <c r="C1" s="1482"/>
      <c r="D1" s="1482"/>
      <c r="E1" s="1482"/>
      <c r="F1" s="1482"/>
      <c r="G1" s="1482"/>
      <c r="H1" s="1482"/>
      <c r="I1" s="1482"/>
      <c r="J1" s="1482"/>
    </row>
    <row r="2" spans="1:10" ht="18">
      <c r="A2" s="1562" t="s">
        <v>378</v>
      </c>
      <c r="B2" s="1562"/>
      <c r="C2" s="1562"/>
      <c r="D2" s="1562"/>
      <c r="E2" s="1562"/>
      <c r="F2" s="1562"/>
      <c r="G2" s="1562"/>
      <c r="H2" s="1562"/>
      <c r="I2" s="1562"/>
      <c r="J2" s="1562"/>
    </row>
    <row r="3" spans="1:10" ht="18">
      <c r="A3" s="1615" t="s">
        <v>617</v>
      </c>
      <c r="B3" s="1615"/>
      <c r="C3" s="1615"/>
      <c r="D3" s="1615"/>
      <c r="E3" s="1615"/>
      <c r="F3" s="1615"/>
      <c r="G3" s="1615"/>
      <c r="H3" s="1615"/>
      <c r="I3" s="1615"/>
      <c r="J3" s="1615"/>
    </row>
    <row r="4" spans="1:10" ht="77.25">
      <c r="A4" s="288" t="s">
        <v>130</v>
      </c>
      <c r="B4" s="288" t="s">
        <v>131</v>
      </c>
      <c r="C4" s="289" t="s">
        <v>379</v>
      </c>
      <c r="D4" s="289" t="s">
        <v>380</v>
      </c>
      <c r="E4" s="289" t="s">
        <v>381</v>
      </c>
      <c r="F4" s="289" t="s">
        <v>382</v>
      </c>
      <c r="G4" s="289" t="s">
        <v>383</v>
      </c>
      <c r="H4" s="289" t="s">
        <v>384</v>
      </c>
      <c r="I4" s="289" t="s">
        <v>385</v>
      </c>
      <c r="J4" s="289" t="s">
        <v>386</v>
      </c>
    </row>
    <row r="5" spans="1:10">
      <c r="A5" s="1235">
        <v>1</v>
      </c>
      <c r="B5" s="1247" t="s">
        <v>78</v>
      </c>
      <c r="C5" s="1248">
        <v>0</v>
      </c>
      <c r="D5" s="1249">
        <v>0</v>
      </c>
      <c r="E5" s="1248">
        <v>0</v>
      </c>
      <c r="F5" s="1249">
        <v>0</v>
      </c>
      <c r="G5" s="1248">
        <v>0</v>
      </c>
      <c r="H5" s="1249">
        <v>0</v>
      </c>
      <c r="I5" s="1248">
        <f t="shared" ref="I5:J25" si="0">C5+E5-G5</f>
        <v>0</v>
      </c>
      <c r="J5" s="1249">
        <f t="shared" si="0"/>
        <v>0</v>
      </c>
    </row>
    <row r="6" spans="1:10">
      <c r="A6" s="1235">
        <v>2</v>
      </c>
      <c r="B6" s="1247" t="s">
        <v>27</v>
      </c>
      <c r="C6" s="1248">
        <v>0</v>
      </c>
      <c r="D6" s="1249">
        <v>0</v>
      </c>
      <c r="E6" s="1248">
        <v>0</v>
      </c>
      <c r="F6" s="1249">
        <v>0</v>
      </c>
      <c r="G6" s="1248">
        <v>0</v>
      </c>
      <c r="H6" s="1249">
        <v>0</v>
      </c>
      <c r="I6" s="1248">
        <f t="shared" si="0"/>
        <v>0</v>
      </c>
      <c r="J6" s="1249">
        <f t="shared" si="0"/>
        <v>0</v>
      </c>
    </row>
    <row r="7" spans="1:10">
      <c r="A7" s="1235">
        <v>3</v>
      </c>
      <c r="B7" s="1247" t="s">
        <v>46</v>
      </c>
      <c r="C7" s="1248">
        <v>0</v>
      </c>
      <c r="D7" s="1249">
        <v>0</v>
      </c>
      <c r="E7" s="1248">
        <v>0</v>
      </c>
      <c r="F7" s="1249">
        <v>0</v>
      </c>
      <c r="G7" s="1248">
        <v>0</v>
      </c>
      <c r="H7" s="1249">
        <v>0</v>
      </c>
      <c r="I7" s="1248">
        <f t="shared" si="0"/>
        <v>0</v>
      </c>
      <c r="J7" s="1249">
        <f t="shared" si="0"/>
        <v>0</v>
      </c>
    </row>
    <row r="8" spans="1:10">
      <c r="A8" s="1235">
        <v>4</v>
      </c>
      <c r="B8" s="1247" t="s">
        <v>32</v>
      </c>
      <c r="C8" s="1248">
        <v>0</v>
      </c>
      <c r="D8" s="1249">
        <v>0</v>
      </c>
      <c r="E8" s="1248">
        <v>0</v>
      </c>
      <c r="F8" s="1249">
        <v>0</v>
      </c>
      <c r="G8" s="1248">
        <v>0</v>
      </c>
      <c r="H8" s="1249">
        <v>0</v>
      </c>
      <c r="I8" s="1248">
        <f t="shared" si="0"/>
        <v>0</v>
      </c>
      <c r="J8" s="1249">
        <f t="shared" si="0"/>
        <v>0</v>
      </c>
    </row>
    <row r="9" spans="1:10">
      <c r="A9" s="1235">
        <v>5</v>
      </c>
      <c r="B9" s="1247" t="s">
        <v>83</v>
      </c>
      <c r="C9" s="1248">
        <v>0</v>
      </c>
      <c r="D9" s="1249">
        <v>0</v>
      </c>
      <c r="E9" s="1248">
        <v>0</v>
      </c>
      <c r="F9" s="1249">
        <v>0</v>
      </c>
      <c r="G9" s="1248">
        <v>0</v>
      </c>
      <c r="H9" s="1249">
        <v>0</v>
      </c>
      <c r="I9" s="1248">
        <f t="shared" si="0"/>
        <v>0</v>
      </c>
      <c r="J9" s="1249">
        <f t="shared" si="0"/>
        <v>0</v>
      </c>
    </row>
    <row r="10" spans="1:10">
      <c r="A10" s="1235">
        <v>6</v>
      </c>
      <c r="B10" s="1247" t="s">
        <v>85</v>
      </c>
      <c r="C10" s="1248">
        <v>1</v>
      </c>
      <c r="D10" s="1249">
        <v>3.19</v>
      </c>
      <c r="E10" s="1248">
        <v>0</v>
      </c>
      <c r="F10" s="1249">
        <v>0</v>
      </c>
      <c r="G10" s="1248">
        <v>0</v>
      </c>
      <c r="H10" s="1249">
        <v>0</v>
      </c>
      <c r="I10" s="1248">
        <f t="shared" si="0"/>
        <v>1</v>
      </c>
      <c r="J10" s="1249">
        <f t="shared" si="0"/>
        <v>3.19</v>
      </c>
    </row>
    <row r="11" spans="1:10">
      <c r="A11" s="1235">
        <v>7</v>
      </c>
      <c r="B11" s="1247" t="s">
        <v>17</v>
      </c>
      <c r="C11" s="1248">
        <v>11</v>
      </c>
      <c r="D11" s="1249">
        <v>17.16</v>
      </c>
      <c r="E11" s="1248">
        <v>0</v>
      </c>
      <c r="F11" s="1249">
        <v>0</v>
      </c>
      <c r="G11" s="1248">
        <v>0</v>
      </c>
      <c r="H11" s="1249">
        <v>0</v>
      </c>
      <c r="I11" s="1248">
        <f t="shared" si="0"/>
        <v>11</v>
      </c>
      <c r="J11" s="1249">
        <f t="shared" si="0"/>
        <v>17.16</v>
      </c>
    </row>
    <row r="12" spans="1:10">
      <c r="A12" s="1235">
        <v>8</v>
      </c>
      <c r="B12" s="1244" t="s">
        <v>26</v>
      </c>
      <c r="C12" s="1245">
        <v>0</v>
      </c>
      <c r="D12" s="1246">
        <v>0</v>
      </c>
      <c r="E12" s="1245">
        <v>0</v>
      </c>
      <c r="F12" s="1246">
        <v>0</v>
      </c>
      <c r="G12" s="1245">
        <v>0</v>
      </c>
      <c r="H12" s="1246">
        <v>0</v>
      </c>
      <c r="I12" s="1245">
        <f t="shared" si="0"/>
        <v>0</v>
      </c>
      <c r="J12" s="1246">
        <f t="shared" si="0"/>
        <v>0</v>
      </c>
    </row>
    <row r="13" spans="1:10">
      <c r="A13" s="1235">
        <v>9</v>
      </c>
      <c r="B13" s="1247" t="s">
        <v>11</v>
      </c>
      <c r="C13" s="1248">
        <v>0</v>
      </c>
      <c r="D13" s="1249">
        <v>0</v>
      </c>
      <c r="E13" s="1248">
        <v>0</v>
      </c>
      <c r="F13" s="1249">
        <v>0</v>
      </c>
      <c r="G13" s="1248">
        <v>0</v>
      </c>
      <c r="H13" s="1249">
        <v>0</v>
      </c>
      <c r="I13" s="1248">
        <f t="shared" si="0"/>
        <v>0</v>
      </c>
      <c r="J13" s="1249">
        <f t="shared" si="0"/>
        <v>0</v>
      </c>
    </row>
    <row r="14" spans="1:10">
      <c r="A14" s="1235">
        <v>10</v>
      </c>
      <c r="B14" s="1247" t="s">
        <v>90</v>
      </c>
      <c r="C14" s="1248">
        <v>0</v>
      </c>
      <c r="D14" s="1249">
        <v>0</v>
      </c>
      <c r="E14" s="1248">
        <v>0</v>
      </c>
      <c r="F14" s="1249">
        <v>0</v>
      </c>
      <c r="G14" s="1248">
        <v>0</v>
      </c>
      <c r="H14" s="1249">
        <v>0</v>
      </c>
      <c r="I14" s="1248">
        <f t="shared" si="0"/>
        <v>0</v>
      </c>
      <c r="J14" s="1249">
        <f t="shared" si="0"/>
        <v>0</v>
      </c>
    </row>
    <row r="15" spans="1:10">
      <c r="A15" s="1235">
        <v>11</v>
      </c>
      <c r="B15" s="1247" t="s">
        <v>284</v>
      </c>
      <c r="C15" s="1248">
        <v>0</v>
      </c>
      <c r="D15" s="1249">
        <v>0</v>
      </c>
      <c r="E15" s="1248">
        <v>0</v>
      </c>
      <c r="F15" s="1249">
        <v>0</v>
      </c>
      <c r="G15" s="1248">
        <v>0</v>
      </c>
      <c r="H15" s="1249">
        <v>0</v>
      </c>
      <c r="I15" s="1248">
        <f t="shared" si="0"/>
        <v>0</v>
      </c>
      <c r="J15" s="1249">
        <f t="shared" si="0"/>
        <v>0</v>
      </c>
    </row>
    <row r="16" spans="1:10">
      <c r="A16" s="1235">
        <v>12</v>
      </c>
      <c r="B16" s="1247" t="s">
        <v>51</v>
      </c>
      <c r="C16" s="1248">
        <v>1</v>
      </c>
      <c r="D16" s="1249">
        <v>1.93</v>
      </c>
      <c r="E16" s="1248">
        <v>1</v>
      </c>
      <c r="F16" s="1249">
        <v>2.98</v>
      </c>
      <c r="G16" s="1248">
        <v>0</v>
      </c>
      <c r="H16" s="1249">
        <v>0</v>
      </c>
      <c r="I16" s="1248">
        <f t="shared" si="0"/>
        <v>2</v>
      </c>
      <c r="J16" s="1249">
        <f t="shared" si="0"/>
        <v>4.91</v>
      </c>
    </row>
    <row r="17" spans="1:10">
      <c r="A17" s="1235">
        <v>13</v>
      </c>
      <c r="B17" s="1247" t="s">
        <v>52</v>
      </c>
      <c r="C17" s="1248">
        <v>0</v>
      </c>
      <c r="D17" s="1249">
        <v>0</v>
      </c>
      <c r="E17" s="1248">
        <v>0</v>
      </c>
      <c r="F17" s="1249">
        <v>0</v>
      </c>
      <c r="G17" s="1248">
        <v>0</v>
      </c>
      <c r="H17" s="1249">
        <v>0</v>
      </c>
      <c r="I17" s="1248">
        <f t="shared" si="0"/>
        <v>0</v>
      </c>
      <c r="J17" s="1249">
        <f t="shared" si="0"/>
        <v>0</v>
      </c>
    </row>
    <row r="18" spans="1:10">
      <c r="A18" s="1235">
        <v>14</v>
      </c>
      <c r="B18" s="1247" t="s">
        <v>28</v>
      </c>
      <c r="C18" s="1248">
        <v>0</v>
      </c>
      <c r="D18" s="1249">
        <v>0</v>
      </c>
      <c r="E18" s="1248">
        <v>0</v>
      </c>
      <c r="F18" s="1249">
        <v>0</v>
      </c>
      <c r="G18" s="1248">
        <v>0</v>
      </c>
      <c r="H18" s="1249">
        <v>0</v>
      </c>
      <c r="I18" s="1248">
        <f t="shared" si="0"/>
        <v>0</v>
      </c>
      <c r="J18" s="1249">
        <f t="shared" si="0"/>
        <v>0</v>
      </c>
    </row>
    <row r="19" spans="1:10">
      <c r="A19" s="1235">
        <v>15</v>
      </c>
      <c r="B19" s="1244" t="s">
        <v>10</v>
      </c>
      <c r="C19" s="1245">
        <v>5444</v>
      </c>
      <c r="D19" s="1246">
        <v>4047.82</v>
      </c>
      <c r="E19" s="1245">
        <v>85</v>
      </c>
      <c r="F19" s="1246">
        <v>93.44</v>
      </c>
      <c r="G19" s="1245">
        <v>6</v>
      </c>
      <c r="H19" s="1246">
        <v>0.45</v>
      </c>
      <c r="I19" s="1245">
        <v>5523</v>
      </c>
      <c r="J19" s="1246">
        <f t="shared" si="0"/>
        <v>4140.8100000000004</v>
      </c>
    </row>
    <row r="20" spans="1:10">
      <c r="A20" s="1235">
        <v>16</v>
      </c>
      <c r="B20" s="1247" t="s">
        <v>53</v>
      </c>
      <c r="C20" s="1248">
        <v>0</v>
      </c>
      <c r="D20" s="1249">
        <v>0</v>
      </c>
      <c r="E20" s="1248">
        <v>0</v>
      </c>
      <c r="F20" s="1249">
        <v>0</v>
      </c>
      <c r="G20" s="1248">
        <v>0</v>
      </c>
      <c r="H20" s="1249">
        <v>0</v>
      </c>
      <c r="I20" s="1248">
        <f t="shared" si="0"/>
        <v>0</v>
      </c>
      <c r="J20" s="1249">
        <f t="shared" si="0"/>
        <v>0</v>
      </c>
    </row>
    <row r="21" spans="1:10">
      <c r="A21" s="1235">
        <v>17</v>
      </c>
      <c r="B21" s="1247" t="s">
        <v>35</v>
      </c>
      <c r="C21" s="1248">
        <v>0</v>
      </c>
      <c r="D21" s="1249">
        <v>0</v>
      </c>
      <c r="E21" s="1248">
        <v>0</v>
      </c>
      <c r="F21" s="1249">
        <v>0</v>
      </c>
      <c r="G21" s="1248">
        <v>0</v>
      </c>
      <c r="H21" s="1249">
        <v>0</v>
      </c>
      <c r="I21" s="1248">
        <f t="shared" si="0"/>
        <v>0</v>
      </c>
      <c r="J21" s="1249">
        <f t="shared" si="0"/>
        <v>0</v>
      </c>
    </row>
    <row r="22" spans="1:10">
      <c r="A22" s="290">
        <v>18</v>
      </c>
      <c r="B22" s="1247" t="s">
        <v>54</v>
      </c>
      <c r="C22" s="1248">
        <v>48</v>
      </c>
      <c r="D22" s="1249">
        <v>62</v>
      </c>
      <c r="E22" s="1248">
        <v>0</v>
      </c>
      <c r="F22" s="1249">
        <v>0</v>
      </c>
      <c r="G22" s="1248">
        <v>0</v>
      </c>
      <c r="H22" s="1249">
        <v>0</v>
      </c>
      <c r="I22" s="1248">
        <f t="shared" si="0"/>
        <v>48</v>
      </c>
      <c r="J22" s="1249">
        <f t="shared" si="0"/>
        <v>62</v>
      </c>
    </row>
    <row r="23" spans="1:10">
      <c r="A23" s="1235">
        <v>19</v>
      </c>
      <c r="B23" s="1247" t="s">
        <v>285</v>
      </c>
      <c r="C23" s="1248">
        <v>0</v>
      </c>
      <c r="D23" s="1249">
        <v>0</v>
      </c>
      <c r="E23" s="1248">
        <v>0</v>
      </c>
      <c r="F23" s="1249">
        <v>0</v>
      </c>
      <c r="G23" s="1248">
        <v>0</v>
      </c>
      <c r="H23" s="1249">
        <v>0</v>
      </c>
      <c r="I23" s="1248">
        <f t="shared" si="0"/>
        <v>0</v>
      </c>
      <c r="J23" s="1249">
        <f t="shared" si="0"/>
        <v>0</v>
      </c>
    </row>
    <row r="24" spans="1:10">
      <c r="A24" s="1235">
        <v>20</v>
      </c>
      <c r="B24" s="1247" t="s">
        <v>23</v>
      </c>
      <c r="C24" s="1248">
        <v>60</v>
      </c>
      <c r="D24" s="1249">
        <v>94.19</v>
      </c>
      <c r="E24" s="1248">
        <v>1</v>
      </c>
      <c r="F24" s="1249">
        <v>5</v>
      </c>
      <c r="G24" s="1248">
        <v>0</v>
      </c>
      <c r="H24" s="1249">
        <v>0</v>
      </c>
      <c r="I24" s="1248">
        <f t="shared" si="0"/>
        <v>61</v>
      </c>
      <c r="J24" s="1249">
        <f t="shared" si="0"/>
        <v>99.19</v>
      </c>
    </row>
    <row r="25" spans="1:10">
      <c r="A25" s="1235">
        <v>21</v>
      </c>
      <c r="B25" s="1247" t="s">
        <v>106</v>
      </c>
      <c r="C25" s="1248">
        <v>0</v>
      </c>
      <c r="D25" s="1249">
        <v>0</v>
      </c>
      <c r="E25" s="1248">
        <v>0</v>
      </c>
      <c r="F25" s="1249">
        <v>0</v>
      </c>
      <c r="G25" s="1248">
        <v>0</v>
      </c>
      <c r="H25" s="1249">
        <v>0</v>
      </c>
      <c r="I25" s="1248">
        <f t="shared" si="0"/>
        <v>0</v>
      </c>
      <c r="J25" s="1249">
        <f t="shared" si="0"/>
        <v>0</v>
      </c>
    </row>
    <row r="26" spans="1:10">
      <c r="A26" s="1235">
        <v>22</v>
      </c>
      <c r="B26" s="1247" t="s">
        <v>108</v>
      </c>
      <c r="C26" s="1248">
        <v>0</v>
      </c>
      <c r="D26" s="1249">
        <v>0</v>
      </c>
      <c r="E26" s="1248">
        <v>0</v>
      </c>
      <c r="F26" s="1249">
        <v>0</v>
      </c>
      <c r="G26" s="1248">
        <v>0</v>
      </c>
      <c r="H26" s="1249">
        <v>0</v>
      </c>
      <c r="I26" s="1248">
        <v>0</v>
      </c>
      <c r="J26" s="1249">
        <v>0</v>
      </c>
    </row>
    <row r="27" spans="1:10">
      <c r="A27" s="1237"/>
      <c r="B27" s="1250" t="s">
        <v>340</v>
      </c>
      <c r="C27" s="1251">
        <f t="shared" ref="C27:J27" si="1">SUM(C5:C26)</f>
        <v>5565</v>
      </c>
      <c r="D27" s="1252">
        <f t="shared" si="1"/>
        <v>4226.29</v>
      </c>
      <c r="E27" s="1251">
        <f t="shared" si="1"/>
        <v>87</v>
      </c>
      <c r="F27" s="1252">
        <f t="shared" si="1"/>
        <v>101.42</v>
      </c>
      <c r="G27" s="1251">
        <f t="shared" si="1"/>
        <v>6</v>
      </c>
      <c r="H27" s="1252">
        <f t="shared" si="1"/>
        <v>0.45</v>
      </c>
      <c r="I27" s="1251">
        <f t="shared" si="1"/>
        <v>5646</v>
      </c>
      <c r="J27" s="1252">
        <f t="shared" si="1"/>
        <v>4327.26</v>
      </c>
    </row>
    <row r="28" spans="1:10">
      <c r="A28" s="290">
        <v>1</v>
      </c>
      <c r="B28" s="1247" t="s">
        <v>16</v>
      </c>
      <c r="C28" s="1248">
        <v>830</v>
      </c>
      <c r="D28" s="1249">
        <v>559.03</v>
      </c>
      <c r="E28" s="1248">
        <v>0</v>
      </c>
      <c r="F28" s="1249">
        <v>0</v>
      </c>
      <c r="G28" s="1248">
        <v>0</v>
      </c>
      <c r="H28" s="1249">
        <v>0</v>
      </c>
      <c r="I28" s="1248">
        <f>C28+E28-G28</f>
        <v>830</v>
      </c>
      <c r="J28" s="1249">
        <f>D28+F28-H28</f>
        <v>559.03</v>
      </c>
    </row>
    <row r="29" spans="1:10">
      <c r="A29" s="1235">
        <v>1</v>
      </c>
      <c r="B29" s="1247" t="s">
        <v>12</v>
      </c>
      <c r="C29" s="1248">
        <v>608</v>
      </c>
      <c r="D29" s="1249">
        <v>9237.69</v>
      </c>
      <c r="E29" s="1248">
        <v>0</v>
      </c>
      <c r="F29" s="1249">
        <v>0</v>
      </c>
      <c r="G29" s="1248">
        <v>0</v>
      </c>
      <c r="H29" s="1249">
        <v>0</v>
      </c>
      <c r="I29" s="1248">
        <f>C29+E29-G29</f>
        <v>608</v>
      </c>
      <c r="J29" s="1249">
        <f>D29+F29-H29</f>
        <v>9237.69</v>
      </c>
    </row>
    <row r="30" spans="1:10">
      <c r="A30" s="1368"/>
      <c r="B30" s="987" t="s">
        <v>63</v>
      </c>
      <c r="C30" s="1251">
        <f t="shared" ref="C30:J30" si="2">C27+C28+C29</f>
        <v>7003</v>
      </c>
      <c r="D30" s="1252">
        <f t="shared" si="2"/>
        <v>14023.01</v>
      </c>
      <c r="E30" s="1251">
        <f t="shared" si="2"/>
        <v>87</v>
      </c>
      <c r="F30" s="1252">
        <f t="shared" si="2"/>
        <v>101.42</v>
      </c>
      <c r="G30" s="1251">
        <f t="shared" si="2"/>
        <v>6</v>
      </c>
      <c r="H30" s="1252">
        <f t="shared" si="2"/>
        <v>0.45</v>
      </c>
      <c r="I30" s="1251">
        <f t="shared" si="2"/>
        <v>7084</v>
      </c>
      <c r="J30" s="1252">
        <f t="shared" si="2"/>
        <v>14123.98</v>
      </c>
    </row>
  </sheetData>
  <mergeCells count="3">
    <mergeCell ref="A1:J1"/>
    <mergeCell ref="A2:J2"/>
    <mergeCell ref="A3:J3"/>
  </mergeCells>
  <printOptions gridLines="1"/>
  <pageMargins left="0.7" right="0.7" top="0.75" bottom="0.75" header="0.3" footer="0.3"/>
  <pageSetup scale="9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R333"/>
  <sheetViews>
    <sheetView showGridLines="0" topLeftCell="A304" workbookViewId="0">
      <selection sqref="A1:R1"/>
    </sheetView>
  </sheetViews>
  <sheetFormatPr defaultRowHeight="15"/>
  <sheetData>
    <row r="1" spans="1:18">
      <c r="A1" s="1643">
        <v>45</v>
      </c>
      <c r="B1" s="1643"/>
      <c r="C1" s="1643"/>
      <c r="D1" s="1643"/>
      <c r="E1" s="1643"/>
      <c r="F1" s="1643"/>
      <c r="G1" s="1643"/>
      <c r="H1" s="1643"/>
      <c r="I1" s="1643"/>
      <c r="J1" s="1643"/>
      <c r="K1" s="1643"/>
      <c r="L1" s="1643"/>
      <c r="M1" s="1643"/>
      <c r="N1" s="1643"/>
      <c r="O1" s="1643"/>
      <c r="P1" s="1643"/>
      <c r="Q1" s="1643"/>
      <c r="R1" s="1643"/>
    </row>
    <row r="2" spans="1:18">
      <c r="A2" s="439"/>
      <c r="B2" s="439"/>
      <c r="C2" s="581"/>
      <c r="D2" s="440"/>
      <c r="E2" s="440"/>
      <c r="F2" s="440"/>
      <c r="G2" s="591" t="s">
        <v>618</v>
      </c>
      <c r="H2" s="591"/>
      <c r="I2" s="592"/>
      <c r="J2" s="440"/>
      <c r="K2" s="440"/>
      <c r="L2" s="439"/>
      <c r="M2" s="591"/>
      <c r="N2" s="591"/>
      <c r="O2" s="592"/>
      <c r="P2" s="440"/>
      <c r="Q2" s="440"/>
      <c r="R2" s="439"/>
    </row>
    <row r="3" spans="1:18">
      <c r="A3" s="439"/>
      <c r="B3" s="439"/>
      <c r="C3" s="581"/>
      <c r="D3" s="440"/>
      <c r="E3" s="440"/>
      <c r="F3" s="440"/>
      <c r="G3" s="440" t="s">
        <v>619</v>
      </c>
      <c r="H3" s="440"/>
      <c r="I3" s="439"/>
      <c r="J3" s="593"/>
      <c r="K3" s="593"/>
      <c r="L3" s="594"/>
      <c r="M3" s="595"/>
      <c r="N3" s="595"/>
      <c r="O3" s="596"/>
      <c r="P3" s="440"/>
      <c r="Q3" s="440"/>
      <c r="R3" s="439"/>
    </row>
    <row r="4" spans="1:18">
      <c r="A4" s="594" t="s">
        <v>527</v>
      </c>
      <c r="B4" s="1639" t="s">
        <v>528</v>
      </c>
      <c r="C4" s="1639"/>
      <c r="D4" s="1642" t="s">
        <v>529</v>
      </c>
      <c r="E4" s="1642"/>
      <c r="F4" s="1642"/>
      <c r="G4" s="1642"/>
      <c r="H4" s="1642"/>
      <c r="I4" s="1642"/>
      <c r="J4" s="1642"/>
      <c r="K4" s="1642"/>
      <c r="L4" s="1642"/>
      <c r="M4" s="1642"/>
      <c r="N4" s="440"/>
      <c r="O4" s="439"/>
      <c r="P4" s="440"/>
      <c r="Q4" s="1619" t="s">
        <v>315</v>
      </c>
      <c r="R4" s="1619"/>
    </row>
    <row r="5" spans="1:18">
      <c r="A5" s="1621" t="s">
        <v>500</v>
      </c>
      <c r="B5" s="1622" t="s">
        <v>501</v>
      </c>
      <c r="C5" s="1622" t="s">
        <v>484</v>
      </c>
      <c r="D5" s="1622"/>
      <c r="E5" s="1622" t="s">
        <v>485</v>
      </c>
      <c r="F5" s="1622"/>
      <c r="G5" s="1625" t="s">
        <v>486</v>
      </c>
      <c r="H5" s="1625"/>
      <c r="I5" s="1625"/>
      <c r="J5" s="1625" t="s">
        <v>487</v>
      </c>
      <c r="K5" s="1625"/>
      <c r="L5" s="1625"/>
      <c r="M5" s="1625" t="s">
        <v>488</v>
      </c>
      <c r="N5" s="1625"/>
      <c r="O5" s="1625"/>
      <c r="P5" s="1625" t="s">
        <v>489</v>
      </c>
      <c r="Q5" s="1625"/>
      <c r="R5" s="1625"/>
    </row>
    <row r="6" spans="1:18">
      <c r="A6" s="1621"/>
      <c r="B6" s="1622"/>
      <c r="C6" s="597" t="s">
        <v>530</v>
      </c>
      <c r="D6" s="441" t="s">
        <v>531</v>
      </c>
      <c r="E6" s="441" t="s">
        <v>490</v>
      </c>
      <c r="F6" s="441" t="s">
        <v>531</v>
      </c>
      <c r="G6" s="441" t="s">
        <v>490</v>
      </c>
      <c r="H6" s="441" t="s">
        <v>531</v>
      </c>
      <c r="I6" s="1042" t="s">
        <v>532</v>
      </c>
      <c r="J6" s="441" t="s">
        <v>490</v>
      </c>
      <c r="K6" s="441" t="s">
        <v>531</v>
      </c>
      <c r="L6" s="1042" t="s">
        <v>532</v>
      </c>
      <c r="M6" s="441" t="s">
        <v>490</v>
      </c>
      <c r="N6" s="441" t="s">
        <v>531</v>
      </c>
      <c r="O6" s="1042" t="s">
        <v>532</v>
      </c>
      <c r="P6" s="441" t="s">
        <v>490</v>
      </c>
      <c r="Q6" s="441" t="s">
        <v>531</v>
      </c>
      <c r="R6" s="1042" t="s">
        <v>532</v>
      </c>
    </row>
    <row r="7" spans="1:18">
      <c r="A7" s="560" t="s">
        <v>10</v>
      </c>
      <c r="B7" s="560">
        <v>4</v>
      </c>
      <c r="C7" s="599">
        <v>129.5</v>
      </c>
      <c r="D7" s="571">
        <v>48.4</v>
      </c>
      <c r="E7" s="599">
        <v>111.8</v>
      </c>
      <c r="F7" s="599">
        <v>25</v>
      </c>
      <c r="G7" s="599">
        <f>E7+C7</f>
        <v>241.3</v>
      </c>
      <c r="H7" s="599">
        <f t="shared" ref="H7:H12" si="0">D7+F7</f>
        <v>73.400000000000006</v>
      </c>
      <c r="I7" s="599">
        <f t="shared" ref="I7:I13" si="1">(H7/G7*100)</f>
        <v>30.418566100290096</v>
      </c>
      <c r="J7" s="599">
        <v>107</v>
      </c>
      <c r="K7" s="599">
        <v>4</v>
      </c>
      <c r="L7" s="599">
        <f>(K7/J7*100)</f>
        <v>3.7383177570093453</v>
      </c>
      <c r="M7" s="599">
        <v>680.2</v>
      </c>
      <c r="N7" s="599">
        <v>115</v>
      </c>
      <c r="O7" s="599">
        <f>(N7/M7*100)</f>
        <v>16.906792119964713</v>
      </c>
      <c r="P7" s="599">
        <f t="shared" ref="P7:P12" si="2">M7+J7+G7</f>
        <v>1028.5</v>
      </c>
      <c r="Q7" s="599">
        <f>H7+K7+N7</f>
        <v>192.4</v>
      </c>
      <c r="R7" s="599">
        <f>(Q7/P7*100)</f>
        <v>18.70685464268352</v>
      </c>
    </row>
    <row r="8" spans="1:18">
      <c r="A8" s="442" t="s">
        <v>17</v>
      </c>
      <c r="B8" s="442">
        <v>1</v>
      </c>
      <c r="C8" s="443">
        <v>46</v>
      </c>
      <c r="D8" s="599">
        <v>0</v>
      </c>
      <c r="E8" s="599">
        <v>48.5</v>
      </c>
      <c r="F8" s="599">
        <v>0</v>
      </c>
      <c r="G8" s="599">
        <f>E8+C8</f>
        <v>94.5</v>
      </c>
      <c r="H8" s="599">
        <f t="shared" si="0"/>
        <v>0</v>
      </c>
      <c r="I8" s="600">
        <f t="shared" si="1"/>
        <v>0</v>
      </c>
      <c r="J8" s="599">
        <v>20.440000000000001</v>
      </c>
      <c r="K8" s="599">
        <v>0</v>
      </c>
      <c r="L8" s="600">
        <f t="shared" ref="L8:L13" si="3">(K8/J8*100)</f>
        <v>0</v>
      </c>
      <c r="M8" s="599">
        <v>199.15</v>
      </c>
      <c r="N8" s="599">
        <v>150.44</v>
      </c>
      <c r="O8" s="600">
        <f t="shared" ref="O8:O13" si="4">(N8/M8*100)</f>
        <v>75.541049460205869</v>
      </c>
      <c r="P8" s="599">
        <f t="shared" si="2"/>
        <v>314.09000000000003</v>
      </c>
      <c r="Q8" s="599">
        <f>H8+K8+N8</f>
        <v>150.44</v>
      </c>
      <c r="R8" s="600">
        <f t="shared" ref="R8:R13" si="5">(Q8/P8*100)</f>
        <v>47.897099557451675</v>
      </c>
    </row>
    <row r="9" spans="1:18">
      <c r="A9" s="442" t="s">
        <v>19</v>
      </c>
      <c r="B9" s="442">
        <v>1</v>
      </c>
      <c r="C9" s="443">
        <v>50</v>
      </c>
      <c r="D9" s="599">
        <v>0</v>
      </c>
      <c r="E9" s="599">
        <v>9.1</v>
      </c>
      <c r="F9" s="599">
        <v>3.24</v>
      </c>
      <c r="G9" s="599">
        <f>E9+C9</f>
        <v>59.1</v>
      </c>
      <c r="H9" s="599">
        <v>3</v>
      </c>
      <c r="I9" s="600">
        <f t="shared" si="1"/>
        <v>5.0761421319796955</v>
      </c>
      <c r="J9" s="599">
        <v>79.5</v>
      </c>
      <c r="K9" s="599">
        <v>0</v>
      </c>
      <c r="L9" s="600">
        <f t="shared" si="3"/>
        <v>0</v>
      </c>
      <c r="M9" s="599">
        <v>211.2</v>
      </c>
      <c r="N9" s="599">
        <v>60.08</v>
      </c>
      <c r="O9" s="600">
        <f t="shared" si="4"/>
        <v>28.446969696969699</v>
      </c>
      <c r="P9" s="599">
        <f t="shared" si="2"/>
        <v>349.8</v>
      </c>
      <c r="Q9" s="599">
        <f>H9+K9+N9</f>
        <v>63.08</v>
      </c>
      <c r="R9" s="600">
        <f t="shared" si="5"/>
        <v>18.033161806746712</v>
      </c>
    </row>
    <row r="10" spans="1:18">
      <c r="A10" s="442" t="s">
        <v>502</v>
      </c>
      <c r="B10" s="442">
        <f t="shared" ref="B10:G10" si="6">SUM(B7:B9)</f>
        <v>6</v>
      </c>
      <c r="C10" s="443">
        <f t="shared" si="6"/>
        <v>225.5</v>
      </c>
      <c r="D10" s="571">
        <f t="shared" si="6"/>
        <v>48.4</v>
      </c>
      <c r="E10" s="599">
        <f t="shared" si="6"/>
        <v>169.4</v>
      </c>
      <c r="F10" s="599">
        <f t="shared" si="6"/>
        <v>28.240000000000002</v>
      </c>
      <c r="G10" s="599">
        <f t="shared" si="6"/>
        <v>394.90000000000003</v>
      </c>
      <c r="H10" s="599">
        <f t="shared" si="0"/>
        <v>76.64</v>
      </c>
      <c r="I10" s="600">
        <f t="shared" si="1"/>
        <v>19.407444922765254</v>
      </c>
      <c r="J10" s="599">
        <f>SUM(J7:J9)</f>
        <v>206.94</v>
      </c>
      <c r="K10" s="599">
        <f>SUM(K7:K9)</f>
        <v>4</v>
      </c>
      <c r="L10" s="600">
        <f t="shared" si="3"/>
        <v>1.9329274185754326</v>
      </c>
      <c r="M10" s="599">
        <f>SUM(M7:M9)</f>
        <v>1090.55</v>
      </c>
      <c r="N10" s="599">
        <f>SUM(N7:N9)</f>
        <v>325.52</v>
      </c>
      <c r="O10" s="600">
        <f t="shared" si="4"/>
        <v>29.849158681399295</v>
      </c>
      <c r="P10" s="599">
        <f>SUM(P7:P9)</f>
        <v>1692.39</v>
      </c>
      <c r="Q10" s="599">
        <f>Q7+Q8+Q9</f>
        <v>405.92</v>
      </c>
      <c r="R10" s="600">
        <f t="shared" si="5"/>
        <v>23.985015274257115</v>
      </c>
    </row>
    <row r="11" spans="1:18">
      <c r="A11" s="442" t="s">
        <v>115</v>
      </c>
      <c r="B11" s="442">
        <v>3</v>
      </c>
      <c r="C11" s="443">
        <v>70</v>
      </c>
      <c r="D11" s="599">
        <v>111.25</v>
      </c>
      <c r="E11" s="599">
        <v>23.9</v>
      </c>
      <c r="F11" s="599">
        <v>55.7</v>
      </c>
      <c r="G11" s="1369">
        <f>E11+C11</f>
        <v>93.9</v>
      </c>
      <c r="H11" s="599">
        <f t="shared" si="0"/>
        <v>166.95</v>
      </c>
      <c r="I11" s="600">
        <f t="shared" si="1"/>
        <v>177.7955271565495</v>
      </c>
      <c r="J11" s="599">
        <v>6.4</v>
      </c>
      <c r="K11" s="599">
        <v>110</v>
      </c>
      <c r="L11" s="600">
        <f t="shared" si="3"/>
        <v>1718.75</v>
      </c>
      <c r="M11" s="599">
        <v>277.7</v>
      </c>
      <c r="N11" s="599">
        <v>143.1</v>
      </c>
      <c r="O11" s="600">
        <f t="shared" si="4"/>
        <v>51.530428519985591</v>
      </c>
      <c r="P11" s="599">
        <f t="shared" si="2"/>
        <v>378</v>
      </c>
      <c r="Q11" s="599">
        <f>H11+K11+N11</f>
        <v>420.04999999999995</v>
      </c>
      <c r="R11" s="600">
        <f t="shared" si="5"/>
        <v>111.12433862433862</v>
      </c>
    </row>
    <row r="12" spans="1:18">
      <c r="A12" s="442" t="s">
        <v>503</v>
      </c>
      <c r="B12" s="442">
        <v>2</v>
      </c>
      <c r="C12" s="443">
        <v>7.4</v>
      </c>
      <c r="D12" s="599">
        <v>0</v>
      </c>
      <c r="E12" s="599">
        <v>168.96</v>
      </c>
      <c r="F12" s="599">
        <v>200.54</v>
      </c>
      <c r="G12" s="599">
        <f>E12+C12</f>
        <v>176.36</v>
      </c>
      <c r="H12" s="599">
        <f t="shared" si="0"/>
        <v>200.54</v>
      </c>
      <c r="I12" s="600">
        <f t="shared" si="1"/>
        <v>113.71059197096847</v>
      </c>
      <c r="J12" s="599">
        <v>10.85</v>
      </c>
      <c r="K12" s="599">
        <v>4</v>
      </c>
      <c r="L12" s="600">
        <f t="shared" si="3"/>
        <v>36.866359447004612</v>
      </c>
      <c r="M12" s="599">
        <v>103.8</v>
      </c>
      <c r="N12" s="599">
        <v>0</v>
      </c>
      <c r="O12" s="600">
        <f t="shared" si="4"/>
        <v>0</v>
      </c>
      <c r="P12" s="599">
        <f t="shared" si="2"/>
        <v>291.01</v>
      </c>
      <c r="Q12" s="599">
        <f>H12+K12+N12</f>
        <v>204.54</v>
      </c>
      <c r="R12" s="600">
        <f t="shared" si="5"/>
        <v>70.286244458953291</v>
      </c>
    </row>
    <row r="13" spans="1:18">
      <c r="A13" s="442" t="s">
        <v>504</v>
      </c>
      <c r="B13" s="442">
        <f t="shared" ref="B13:H13" si="7">SUM(B10:B12)</f>
        <v>11</v>
      </c>
      <c r="C13" s="443">
        <f t="shared" si="7"/>
        <v>302.89999999999998</v>
      </c>
      <c r="D13" s="599">
        <f>D10+D11+D12</f>
        <v>159.65</v>
      </c>
      <c r="E13" s="599">
        <f t="shared" si="7"/>
        <v>362.26</v>
      </c>
      <c r="F13" s="599">
        <f t="shared" si="7"/>
        <v>284.48</v>
      </c>
      <c r="G13" s="599">
        <f t="shared" si="7"/>
        <v>665.16000000000008</v>
      </c>
      <c r="H13" s="599">
        <f t="shared" si="7"/>
        <v>444.13</v>
      </c>
      <c r="I13" s="600">
        <f t="shared" si="1"/>
        <v>66.770401106500685</v>
      </c>
      <c r="J13" s="599">
        <f>SUM(J10:J12)</f>
        <v>224.19</v>
      </c>
      <c r="K13" s="599">
        <f>K10+K11+K12</f>
        <v>118</v>
      </c>
      <c r="L13" s="600">
        <f t="shared" si="3"/>
        <v>52.633926580132929</v>
      </c>
      <c r="M13" s="599">
        <f>SUM(M10:M12)</f>
        <v>1472.05</v>
      </c>
      <c r="N13" s="599">
        <f>SUM(N10:N12)</f>
        <v>468.62</v>
      </c>
      <c r="O13" s="600">
        <f t="shared" si="4"/>
        <v>31.83451649060834</v>
      </c>
      <c r="P13" s="599">
        <f>SUM(P10:P12)</f>
        <v>2361.4000000000005</v>
      </c>
      <c r="Q13" s="599">
        <f>Q10+Q11+Q12</f>
        <v>1030.51</v>
      </c>
      <c r="R13" s="600">
        <f t="shared" si="5"/>
        <v>43.639789955111361</v>
      </c>
    </row>
    <row r="14" spans="1:18">
      <c r="A14" s="563"/>
      <c r="B14" s="563"/>
      <c r="C14" s="601"/>
      <c r="D14" s="602" t="s">
        <v>533</v>
      </c>
      <c r="E14" s="602"/>
      <c r="F14" s="602"/>
      <c r="G14" s="602"/>
      <c r="H14" s="602"/>
      <c r="I14" s="602"/>
      <c r="J14" s="602"/>
      <c r="K14" s="602"/>
      <c r="L14" s="602"/>
      <c r="M14" s="602"/>
      <c r="N14" s="565"/>
      <c r="O14" s="603"/>
      <c r="P14" s="565"/>
      <c r="Q14" s="565"/>
      <c r="R14" s="603"/>
    </row>
    <row r="15" spans="1:18">
      <c r="A15" s="594" t="s">
        <v>534</v>
      </c>
      <c r="B15" s="1639" t="s">
        <v>535</v>
      </c>
      <c r="C15" s="1639"/>
      <c r="D15" s="604" t="s">
        <v>536</v>
      </c>
      <c r="E15" s="604"/>
      <c r="F15" s="604"/>
      <c r="G15" s="604"/>
      <c r="H15" s="604"/>
      <c r="I15" s="604"/>
      <c r="J15" s="604"/>
      <c r="K15" s="604"/>
      <c r="L15" s="604"/>
      <c r="M15" s="604"/>
      <c r="N15" s="440"/>
      <c r="O15" s="439"/>
      <c r="P15" s="440"/>
      <c r="Q15" s="440"/>
      <c r="R15" s="439"/>
    </row>
    <row r="16" spans="1:18">
      <c r="A16" s="1621" t="s">
        <v>343</v>
      </c>
      <c r="B16" s="1622" t="s">
        <v>501</v>
      </c>
      <c r="C16" s="1622" t="s">
        <v>484</v>
      </c>
      <c r="D16" s="1622"/>
      <c r="E16" s="1622" t="s">
        <v>485</v>
      </c>
      <c r="F16" s="1622"/>
      <c r="G16" s="1625" t="s">
        <v>486</v>
      </c>
      <c r="H16" s="1625"/>
      <c r="I16" s="1625"/>
      <c r="J16" s="1625" t="s">
        <v>487</v>
      </c>
      <c r="K16" s="1625"/>
      <c r="L16" s="1625"/>
      <c r="M16" s="1625" t="s">
        <v>488</v>
      </c>
      <c r="N16" s="1625"/>
      <c r="O16" s="1625"/>
      <c r="P16" s="1625" t="s">
        <v>489</v>
      </c>
      <c r="Q16" s="1625"/>
      <c r="R16" s="1625"/>
    </row>
    <row r="17" spans="1:18">
      <c r="A17" s="1621"/>
      <c r="B17" s="1622"/>
      <c r="C17" s="597" t="s">
        <v>530</v>
      </c>
      <c r="D17" s="441" t="s">
        <v>531</v>
      </c>
      <c r="E17" s="441" t="s">
        <v>490</v>
      </c>
      <c r="F17" s="441" t="s">
        <v>531</v>
      </c>
      <c r="G17" s="441" t="s">
        <v>490</v>
      </c>
      <c r="H17" s="441" t="s">
        <v>531</v>
      </c>
      <c r="I17" s="1042" t="s">
        <v>532</v>
      </c>
      <c r="J17" s="441" t="s">
        <v>490</v>
      </c>
      <c r="K17" s="441" t="s">
        <v>531</v>
      </c>
      <c r="L17" s="1042" t="s">
        <v>532</v>
      </c>
      <c r="M17" s="441" t="s">
        <v>490</v>
      </c>
      <c r="N17" s="441" t="s">
        <v>531</v>
      </c>
      <c r="O17" s="1042" t="s">
        <v>532</v>
      </c>
      <c r="P17" s="441" t="s">
        <v>490</v>
      </c>
      <c r="Q17" s="441" t="s">
        <v>531</v>
      </c>
      <c r="R17" s="1042" t="s">
        <v>532</v>
      </c>
    </row>
    <row r="18" spans="1:18">
      <c r="A18" s="560" t="s">
        <v>10</v>
      </c>
      <c r="B18" s="560">
        <v>1</v>
      </c>
      <c r="C18" s="599">
        <v>32.5</v>
      </c>
      <c r="D18" s="599">
        <v>0</v>
      </c>
      <c r="E18" s="599">
        <v>38</v>
      </c>
      <c r="F18" s="599">
        <v>0</v>
      </c>
      <c r="G18" s="599">
        <f>E18+C18</f>
        <v>70.5</v>
      </c>
      <c r="H18" s="599">
        <f>D18+F18</f>
        <v>0</v>
      </c>
      <c r="I18" s="599">
        <f>(H18/G18*100)</f>
        <v>0</v>
      </c>
      <c r="J18" s="599">
        <v>26.75</v>
      </c>
      <c r="K18" s="599">
        <v>0</v>
      </c>
      <c r="L18" s="599">
        <f>(K18/J18*100)</f>
        <v>0</v>
      </c>
      <c r="M18" s="599">
        <v>170</v>
      </c>
      <c r="N18" s="599">
        <v>0</v>
      </c>
      <c r="O18" s="599">
        <f>(N18/M18*100)</f>
        <v>0</v>
      </c>
      <c r="P18" s="599">
        <f>G18+J18+M18</f>
        <v>267.25</v>
      </c>
      <c r="Q18" s="599">
        <f>H18+K18+N18</f>
        <v>0</v>
      </c>
      <c r="R18" s="599">
        <f>(Q18/P18*100)</f>
        <v>0</v>
      </c>
    </row>
    <row r="19" spans="1:18">
      <c r="A19" s="442" t="s">
        <v>502</v>
      </c>
      <c r="B19" s="442">
        <v>1</v>
      </c>
      <c r="C19" s="443">
        <f>SUM(C18)</f>
        <v>32.5</v>
      </c>
      <c r="D19" s="599">
        <v>0</v>
      </c>
      <c r="E19" s="599">
        <f>SUM(E18)</f>
        <v>38</v>
      </c>
      <c r="F19" s="599">
        <v>0</v>
      </c>
      <c r="G19" s="599">
        <f>E19+C19</f>
        <v>70.5</v>
      </c>
      <c r="H19" s="599">
        <f>D19+F19</f>
        <v>0</v>
      </c>
      <c r="I19" s="600">
        <f>(H19/G19*100)</f>
        <v>0</v>
      </c>
      <c r="J19" s="599">
        <f>SUM(J18)</f>
        <v>26.75</v>
      </c>
      <c r="K19" s="599">
        <v>0</v>
      </c>
      <c r="L19" s="600">
        <f>(K19/J19*100)</f>
        <v>0</v>
      </c>
      <c r="M19" s="599">
        <f>SUM(M18)</f>
        <v>170</v>
      </c>
      <c r="N19" s="599">
        <v>0</v>
      </c>
      <c r="O19" s="600">
        <f>(N19/M19*100)</f>
        <v>0</v>
      </c>
      <c r="P19" s="599">
        <f>SUM(P18)</f>
        <v>267.25</v>
      </c>
      <c r="Q19" s="599">
        <f>H19+K19+N19</f>
        <v>0</v>
      </c>
      <c r="R19" s="600">
        <f>(Q19/P19*100)</f>
        <v>0</v>
      </c>
    </row>
    <row r="20" spans="1:18">
      <c r="A20" s="442" t="s">
        <v>503</v>
      </c>
      <c r="B20" s="442">
        <v>3</v>
      </c>
      <c r="C20" s="444">
        <v>11.13</v>
      </c>
      <c r="D20" s="599">
        <v>0</v>
      </c>
      <c r="E20" s="599">
        <v>253.4</v>
      </c>
      <c r="F20" s="599">
        <v>52.02</v>
      </c>
      <c r="G20" s="599">
        <f>E20+C20</f>
        <v>264.53000000000003</v>
      </c>
      <c r="H20" s="599">
        <f>D20+F20</f>
        <v>52.02</v>
      </c>
      <c r="I20" s="600">
        <f>(H20/G20*100)</f>
        <v>19.665066344081954</v>
      </c>
      <c r="J20" s="599">
        <v>16.25</v>
      </c>
      <c r="K20" s="599">
        <v>0</v>
      </c>
      <c r="L20" s="600">
        <f>(K20/J20*100)</f>
        <v>0</v>
      </c>
      <c r="M20" s="599">
        <v>155.65</v>
      </c>
      <c r="N20" s="599">
        <v>0</v>
      </c>
      <c r="O20" s="600">
        <f>(N20/M20*100)</f>
        <v>0</v>
      </c>
      <c r="P20" s="599">
        <f>G20+J20+M20</f>
        <v>436.43000000000006</v>
      </c>
      <c r="Q20" s="599">
        <f>H20+K20+N20</f>
        <v>52.02</v>
      </c>
      <c r="R20" s="600">
        <f>(Q20/P20*100)</f>
        <v>11.919437252251219</v>
      </c>
    </row>
    <row r="21" spans="1:18">
      <c r="A21" s="442" t="s">
        <v>505</v>
      </c>
      <c r="B21" s="442">
        <v>4</v>
      </c>
      <c r="C21" s="444">
        <f>SUM(C19:C20)</f>
        <v>43.63</v>
      </c>
      <c r="D21" s="599">
        <f>SUM(D19:D20)</f>
        <v>0</v>
      </c>
      <c r="E21" s="599">
        <f>SUM(E19:E20)</f>
        <v>291.39999999999998</v>
      </c>
      <c r="F21" s="599">
        <f>SUM(F19:F20)</f>
        <v>52.02</v>
      </c>
      <c r="G21" s="599">
        <f>E21+C21</f>
        <v>335.03</v>
      </c>
      <c r="H21" s="599">
        <f>F21+D21</f>
        <v>52.02</v>
      </c>
      <c r="I21" s="600">
        <f>(H21/G21*100)</f>
        <v>15.526967734232757</v>
      </c>
      <c r="J21" s="599">
        <f>SUM(J19:J20)</f>
        <v>43</v>
      </c>
      <c r="K21" s="599">
        <v>0</v>
      </c>
      <c r="L21" s="600">
        <f>(K21/J21*100)</f>
        <v>0</v>
      </c>
      <c r="M21" s="599">
        <f>SUM(M19:M20)</f>
        <v>325.64999999999998</v>
      </c>
      <c r="N21" s="599">
        <v>0</v>
      </c>
      <c r="O21" s="600">
        <f>(N21/M21*100)</f>
        <v>0</v>
      </c>
      <c r="P21" s="599">
        <f>SUM(P19:P20)</f>
        <v>703.68000000000006</v>
      </c>
      <c r="Q21" s="599">
        <f>H21+K21+N21</f>
        <v>52.02</v>
      </c>
      <c r="R21" s="600">
        <f>(Q21/P21*100)</f>
        <v>7.392564802182811</v>
      </c>
    </row>
    <row r="22" spans="1:18">
      <c r="A22" s="445"/>
      <c r="B22" s="445"/>
      <c r="C22" s="605"/>
      <c r="D22" s="446"/>
      <c r="E22" s="446"/>
      <c r="F22" s="446"/>
      <c r="G22" s="446"/>
      <c r="H22" s="446"/>
      <c r="I22" s="445"/>
      <c r="J22" s="446"/>
      <c r="K22" s="446"/>
      <c r="L22" s="445"/>
      <c r="M22" s="446"/>
      <c r="N22" s="446"/>
      <c r="O22" s="445"/>
      <c r="P22" s="446"/>
      <c r="Q22" s="446"/>
      <c r="R22" s="445"/>
    </row>
    <row r="23" spans="1:18">
      <c r="A23" s="439" t="s">
        <v>506</v>
      </c>
      <c r="B23" s="566" t="s">
        <v>14</v>
      </c>
      <c r="C23" s="566"/>
      <c r="D23" s="1642" t="s">
        <v>529</v>
      </c>
      <c r="E23" s="1642"/>
      <c r="F23" s="1642"/>
      <c r="G23" s="1642"/>
      <c r="H23" s="1642"/>
      <c r="I23" s="1642"/>
      <c r="J23" s="1642"/>
      <c r="K23" s="1642"/>
      <c r="L23" s="1642"/>
      <c r="M23" s="1642"/>
      <c r="N23" s="440"/>
      <c r="O23" s="439"/>
      <c r="P23" s="440"/>
      <c r="Q23" s="440"/>
      <c r="R23" s="439"/>
    </row>
    <row r="24" spans="1:18">
      <c r="A24" s="1621" t="s">
        <v>343</v>
      </c>
      <c r="B24" s="1622" t="s">
        <v>501</v>
      </c>
      <c r="C24" s="1622" t="s">
        <v>484</v>
      </c>
      <c r="D24" s="1622"/>
      <c r="E24" s="1622" t="s">
        <v>485</v>
      </c>
      <c r="F24" s="1622"/>
      <c r="G24" s="1625" t="s">
        <v>486</v>
      </c>
      <c r="H24" s="1625"/>
      <c r="I24" s="1625"/>
      <c r="J24" s="1625" t="s">
        <v>487</v>
      </c>
      <c r="K24" s="1625"/>
      <c r="L24" s="1625"/>
      <c r="M24" s="1625" t="s">
        <v>488</v>
      </c>
      <c r="N24" s="1625"/>
      <c r="O24" s="1625"/>
      <c r="P24" s="1625" t="s">
        <v>489</v>
      </c>
      <c r="Q24" s="1625"/>
      <c r="R24" s="1625"/>
    </row>
    <row r="25" spans="1:18">
      <c r="A25" s="1621"/>
      <c r="B25" s="1622"/>
      <c r="C25" s="597" t="s">
        <v>530</v>
      </c>
      <c r="D25" s="441" t="s">
        <v>531</v>
      </c>
      <c r="E25" s="441" t="s">
        <v>490</v>
      </c>
      <c r="F25" s="441" t="s">
        <v>531</v>
      </c>
      <c r="G25" s="441" t="s">
        <v>490</v>
      </c>
      <c r="H25" s="441" t="s">
        <v>531</v>
      </c>
      <c r="I25" s="1042" t="s">
        <v>532</v>
      </c>
      <c r="J25" s="441" t="s">
        <v>490</v>
      </c>
      <c r="K25" s="441" t="s">
        <v>531</v>
      </c>
      <c r="L25" s="1042" t="s">
        <v>532</v>
      </c>
      <c r="M25" s="441" t="s">
        <v>490</v>
      </c>
      <c r="N25" s="441" t="s">
        <v>531</v>
      </c>
      <c r="O25" s="1042" t="s">
        <v>532</v>
      </c>
      <c r="P25" s="441" t="s">
        <v>490</v>
      </c>
      <c r="Q25" s="441" t="s">
        <v>531</v>
      </c>
      <c r="R25" s="1042" t="s">
        <v>532</v>
      </c>
    </row>
    <row r="26" spans="1:18">
      <c r="A26" s="560" t="s">
        <v>10</v>
      </c>
      <c r="B26" s="560">
        <v>1</v>
      </c>
      <c r="C26" s="599">
        <v>32.5</v>
      </c>
      <c r="D26" s="599">
        <v>0</v>
      </c>
      <c r="E26" s="599">
        <v>38</v>
      </c>
      <c r="F26" s="599">
        <v>0</v>
      </c>
      <c r="G26" s="599">
        <f>E26+C26</f>
        <v>70.5</v>
      </c>
      <c r="H26" s="599">
        <f>D26+F26</f>
        <v>0</v>
      </c>
      <c r="I26" s="599">
        <f>(H26/G26*100)</f>
        <v>0</v>
      </c>
      <c r="J26" s="599">
        <v>26.75</v>
      </c>
      <c r="K26" s="599">
        <v>0</v>
      </c>
      <c r="L26" s="599">
        <f>(K26/J26*100)</f>
        <v>0</v>
      </c>
      <c r="M26" s="599">
        <v>170</v>
      </c>
      <c r="N26" s="599">
        <v>0</v>
      </c>
      <c r="O26" s="599">
        <f>(N26/M26*100)</f>
        <v>0</v>
      </c>
      <c r="P26" s="599">
        <f>G26+J26+M26</f>
        <v>267.25</v>
      </c>
      <c r="Q26" s="599">
        <f>H26+K26+N26</f>
        <v>0</v>
      </c>
      <c r="R26" s="599">
        <f>(Q26/P26*100)</f>
        <v>0</v>
      </c>
    </row>
    <row r="27" spans="1:18">
      <c r="A27" s="442" t="s">
        <v>502</v>
      </c>
      <c r="B27" s="442">
        <v>1</v>
      </c>
      <c r="C27" s="443">
        <f>SUM(C26)</f>
        <v>32.5</v>
      </c>
      <c r="D27" s="599">
        <v>0</v>
      </c>
      <c r="E27" s="599">
        <f>SUM(E26)</f>
        <v>38</v>
      </c>
      <c r="F27" s="599">
        <v>0</v>
      </c>
      <c r="G27" s="599">
        <f>E27+C27</f>
        <v>70.5</v>
      </c>
      <c r="H27" s="599">
        <f>D27+F27</f>
        <v>0</v>
      </c>
      <c r="I27" s="600">
        <f>(H27/G27*100)</f>
        <v>0</v>
      </c>
      <c r="J27" s="599">
        <f>SUM(J26)</f>
        <v>26.75</v>
      </c>
      <c r="K27" s="599">
        <v>0</v>
      </c>
      <c r="L27" s="600">
        <f>(K27/J27*100)</f>
        <v>0</v>
      </c>
      <c r="M27" s="599">
        <f>SUM(M26)</f>
        <v>170</v>
      </c>
      <c r="N27" s="599">
        <v>0</v>
      </c>
      <c r="O27" s="600">
        <f>(N27/M27*100)</f>
        <v>0</v>
      </c>
      <c r="P27" s="599">
        <f>SUM(P26)</f>
        <v>267.25</v>
      </c>
      <c r="Q27" s="599">
        <f>H27+K27+N27</f>
        <v>0</v>
      </c>
      <c r="R27" s="600">
        <f>(Q27/P27*100)</f>
        <v>0</v>
      </c>
    </row>
    <row r="28" spans="1:18">
      <c r="A28" s="442" t="s">
        <v>505</v>
      </c>
      <c r="B28" s="442">
        <v>1</v>
      </c>
      <c r="C28" s="443">
        <f>SUM(C27:C27)</f>
        <v>32.5</v>
      </c>
      <c r="D28" s="599">
        <f>SUM(D27:D27)</f>
        <v>0</v>
      </c>
      <c r="E28" s="599">
        <f>SUM(E27:E27)</f>
        <v>38</v>
      </c>
      <c r="F28" s="599">
        <f>SUM(F27:F27)</f>
        <v>0</v>
      </c>
      <c r="G28" s="599">
        <f>E28+C28</f>
        <v>70.5</v>
      </c>
      <c r="H28" s="599">
        <f>F28+D28</f>
        <v>0</v>
      </c>
      <c r="I28" s="600">
        <f>(H28/G28*100)</f>
        <v>0</v>
      </c>
      <c r="J28" s="599">
        <f>SUM(J27:J27)</f>
        <v>26.75</v>
      </c>
      <c r="K28" s="599">
        <f>SUM(K27:K27)</f>
        <v>0</v>
      </c>
      <c r="L28" s="600">
        <f>(K28/J28*100)</f>
        <v>0</v>
      </c>
      <c r="M28" s="599">
        <f>SUM(M27:M27)</f>
        <v>170</v>
      </c>
      <c r="N28" s="599">
        <v>0</v>
      </c>
      <c r="O28" s="600">
        <f>(N28/M28*100)</f>
        <v>0</v>
      </c>
      <c r="P28" s="599">
        <f>SUM(P27:P27)</f>
        <v>267.25</v>
      </c>
      <c r="Q28" s="599">
        <f>H28+K28+N28</f>
        <v>0</v>
      </c>
      <c r="R28" s="600">
        <f>(Q28/P28*100)</f>
        <v>0</v>
      </c>
    </row>
    <row r="29" spans="1:18">
      <c r="A29" s="445"/>
      <c r="B29" s="445"/>
      <c r="C29" s="605"/>
      <c r="D29" s="446"/>
      <c r="E29" s="446"/>
      <c r="F29" s="446"/>
      <c r="G29" s="446"/>
      <c r="H29" s="446"/>
      <c r="I29" s="445"/>
      <c r="J29" s="446"/>
      <c r="K29" s="446"/>
      <c r="L29" s="445"/>
      <c r="M29" s="446"/>
      <c r="N29" s="446"/>
      <c r="O29" s="445"/>
      <c r="P29" s="446"/>
      <c r="Q29" s="446"/>
      <c r="R29" s="445"/>
    </row>
    <row r="30" spans="1:18">
      <c r="A30" s="606" t="s">
        <v>537</v>
      </c>
      <c r="B30" s="1639" t="s">
        <v>538</v>
      </c>
      <c r="C30" s="1639"/>
      <c r="D30" s="1642" t="s">
        <v>529</v>
      </c>
      <c r="E30" s="1642"/>
      <c r="F30" s="1642"/>
      <c r="G30" s="1642"/>
      <c r="H30" s="1642"/>
      <c r="I30" s="1642"/>
      <c r="J30" s="1642"/>
      <c r="K30" s="1642"/>
      <c r="L30" s="1642"/>
      <c r="M30" s="1642"/>
      <c r="N30" s="607"/>
      <c r="O30" s="608"/>
      <c r="P30" s="567"/>
      <c r="Q30" s="567"/>
      <c r="R30" s="609"/>
    </row>
    <row r="31" spans="1:18">
      <c r="A31" s="1622" t="s">
        <v>500</v>
      </c>
      <c r="B31" s="1622" t="s">
        <v>501</v>
      </c>
      <c r="C31" s="1622" t="s">
        <v>484</v>
      </c>
      <c r="D31" s="1622"/>
      <c r="E31" s="1622" t="s">
        <v>485</v>
      </c>
      <c r="F31" s="1622"/>
      <c r="G31" s="1625" t="s">
        <v>486</v>
      </c>
      <c r="H31" s="1625"/>
      <c r="I31" s="1625"/>
      <c r="J31" s="1625" t="s">
        <v>487</v>
      </c>
      <c r="K31" s="1625"/>
      <c r="L31" s="1625"/>
      <c r="M31" s="1625" t="s">
        <v>488</v>
      </c>
      <c r="N31" s="1625"/>
      <c r="O31" s="1625"/>
      <c r="P31" s="1625" t="s">
        <v>489</v>
      </c>
      <c r="Q31" s="1625"/>
      <c r="R31" s="1625"/>
    </row>
    <row r="32" spans="1:18">
      <c r="A32" s="1622"/>
      <c r="B32" s="1622"/>
      <c r="C32" s="597" t="s">
        <v>530</v>
      </c>
      <c r="D32" s="441" t="s">
        <v>531</v>
      </c>
      <c r="E32" s="441" t="s">
        <v>490</v>
      </c>
      <c r="F32" s="441" t="s">
        <v>531</v>
      </c>
      <c r="G32" s="441" t="s">
        <v>490</v>
      </c>
      <c r="H32" s="441" t="s">
        <v>531</v>
      </c>
      <c r="I32" s="1042" t="s">
        <v>532</v>
      </c>
      <c r="J32" s="441" t="s">
        <v>490</v>
      </c>
      <c r="K32" s="441" t="s">
        <v>531</v>
      </c>
      <c r="L32" s="1042" t="s">
        <v>532</v>
      </c>
      <c r="M32" s="441" t="s">
        <v>490</v>
      </c>
      <c r="N32" s="441" t="s">
        <v>531</v>
      </c>
      <c r="O32" s="1042" t="s">
        <v>532</v>
      </c>
      <c r="P32" s="441" t="s">
        <v>490</v>
      </c>
      <c r="Q32" s="441" t="s">
        <v>531</v>
      </c>
      <c r="R32" s="1042" t="s">
        <v>532</v>
      </c>
    </row>
    <row r="33" spans="1:18">
      <c r="A33" s="560" t="s">
        <v>10</v>
      </c>
      <c r="B33" s="560">
        <v>2</v>
      </c>
      <c r="C33" s="599">
        <v>53.7</v>
      </c>
      <c r="D33" s="599">
        <v>3.73</v>
      </c>
      <c r="E33" s="599">
        <v>42</v>
      </c>
      <c r="F33" s="599">
        <v>0</v>
      </c>
      <c r="G33" s="599">
        <f>E33+C33</f>
        <v>95.7</v>
      </c>
      <c r="H33" s="599">
        <f>D33+F33</f>
        <v>3.73</v>
      </c>
      <c r="I33" s="599">
        <f t="shared" ref="I33:I38" si="8">(H33/G33*100)</f>
        <v>3.8975966562173454</v>
      </c>
      <c r="J33" s="599">
        <v>30</v>
      </c>
      <c r="K33" s="599">
        <v>7.44</v>
      </c>
      <c r="L33" s="599">
        <f t="shared" ref="L33:L38" si="9">(K33/J33*100)</f>
        <v>24.800000000000004</v>
      </c>
      <c r="M33" s="599">
        <v>245</v>
      </c>
      <c r="N33" s="599">
        <v>282.26</v>
      </c>
      <c r="O33" s="599">
        <f t="shared" ref="O33:O38" si="10">(N33/M33*100)</f>
        <v>115.20816326530611</v>
      </c>
      <c r="P33" s="599">
        <f t="shared" ref="P33:Q37" si="11">G33+J33+M33</f>
        <v>370.7</v>
      </c>
      <c r="Q33" s="599">
        <f t="shared" si="11"/>
        <v>293.43</v>
      </c>
      <c r="R33" s="599">
        <f t="shared" ref="R33:R38" si="12">(Q33/P33*100)</f>
        <v>79.155651470191529</v>
      </c>
    </row>
    <row r="34" spans="1:18">
      <c r="A34" s="442" t="s">
        <v>17</v>
      </c>
      <c r="B34" s="442">
        <v>1</v>
      </c>
      <c r="C34" s="443">
        <v>46</v>
      </c>
      <c r="D34" s="599">
        <v>0</v>
      </c>
      <c r="E34" s="599">
        <v>48.5</v>
      </c>
      <c r="F34" s="599">
        <v>0</v>
      </c>
      <c r="G34" s="599">
        <f>E34+C34</f>
        <v>94.5</v>
      </c>
      <c r="H34" s="599">
        <f>D34+F34</f>
        <v>0</v>
      </c>
      <c r="I34" s="600">
        <f t="shared" si="8"/>
        <v>0</v>
      </c>
      <c r="J34" s="599">
        <v>20.440000000000001</v>
      </c>
      <c r="K34" s="599">
        <v>0</v>
      </c>
      <c r="L34" s="600">
        <f t="shared" si="9"/>
        <v>0</v>
      </c>
      <c r="M34" s="599">
        <v>49.15</v>
      </c>
      <c r="N34" s="599">
        <v>3.5</v>
      </c>
      <c r="O34" s="600">
        <f t="shared" si="10"/>
        <v>7.1210579857578837</v>
      </c>
      <c r="P34" s="599">
        <f t="shared" si="11"/>
        <v>164.09</v>
      </c>
      <c r="Q34" s="599">
        <f t="shared" si="11"/>
        <v>3.5</v>
      </c>
      <c r="R34" s="600">
        <f t="shared" si="12"/>
        <v>2.132975805960144</v>
      </c>
    </row>
    <row r="35" spans="1:18">
      <c r="A35" s="442" t="s">
        <v>502</v>
      </c>
      <c r="B35" s="442">
        <v>3</v>
      </c>
      <c r="C35" s="443">
        <f>SUM(C33:C34)</f>
        <v>99.7</v>
      </c>
      <c r="D35" s="599">
        <f>SUM(D33:D34)</f>
        <v>3.73</v>
      </c>
      <c r="E35" s="599">
        <f>SUM(E33:E34)</f>
        <v>90.5</v>
      </c>
      <c r="F35" s="599">
        <f>SUM(F33:F34)</f>
        <v>0</v>
      </c>
      <c r="G35" s="599">
        <f>SUM(G33:G34)</f>
        <v>190.2</v>
      </c>
      <c r="H35" s="599">
        <f>D35+F35</f>
        <v>3.73</v>
      </c>
      <c r="I35" s="600">
        <f t="shared" si="8"/>
        <v>1.961093585699264</v>
      </c>
      <c r="J35" s="599">
        <f>SUM(J33:J34)</f>
        <v>50.44</v>
      </c>
      <c r="K35" s="599">
        <f>SUM(K33:K34)</f>
        <v>7.44</v>
      </c>
      <c r="L35" s="600">
        <f t="shared" si="9"/>
        <v>14.750198255352895</v>
      </c>
      <c r="M35" s="599">
        <f>SUM(M33:M34)</f>
        <v>294.14999999999998</v>
      </c>
      <c r="N35" s="599">
        <f>SUM(N33:N34)</f>
        <v>285.76</v>
      </c>
      <c r="O35" s="600">
        <f t="shared" si="10"/>
        <v>97.147713751487345</v>
      </c>
      <c r="P35" s="599">
        <f t="shared" si="11"/>
        <v>534.79</v>
      </c>
      <c r="Q35" s="599">
        <f t="shared" si="11"/>
        <v>296.93</v>
      </c>
      <c r="R35" s="600">
        <f t="shared" si="12"/>
        <v>55.522728547654218</v>
      </c>
    </row>
    <row r="36" spans="1:18">
      <c r="A36" s="442" t="s">
        <v>115</v>
      </c>
      <c r="B36" s="442">
        <v>3</v>
      </c>
      <c r="C36" s="443">
        <v>55</v>
      </c>
      <c r="D36" s="599">
        <v>16</v>
      </c>
      <c r="E36" s="599">
        <v>23.9</v>
      </c>
      <c r="F36" s="599">
        <v>0</v>
      </c>
      <c r="G36" s="599">
        <f>E36+C36</f>
        <v>78.900000000000006</v>
      </c>
      <c r="H36" s="599">
        <f>D36+F36</f>
        <v>16</v>
      </c>
      <c r="I36" s="600">
        <f t="shared" si="8"/>
        <v>20.278833967046893</v>
      </c>
      <c r="J36" s="599">
        <v>6.4</v>
      </c>
      <c r="K36" s="599">
        <v>0</v>
      </c>
      <c r="L36" s="600">
        <f t="shared" si="9"/>
        <v>0</v>
      </c>
      <c r="M36" s="599">
        <v>277.7</v>
      </c>
      <c r="N36" s="599">
        <v>178.05</v>
      </c>
      <c r="O36" s="600">
        <f t="shared" si="10"/>
        <v>64.115952466690686</v>
      </c>
      <c r="P36" s="599">
        <f t="shared" si="11"/>
        <v>363</v>
      </c>
      <c r="Q36" s="599">
        <f t="shared" si="11"/>
        <v>194.05</v>
      </c>
      <c r="R36" s="600">
        <f t="shared" si="12"/>
        <v>53.457300275482098</v>
      </c>
    </row>
    <row r="37" spans="1:18">
      <c r="A37" s="442" t="s">
        <v>507</v>
      </c>
      <c r="B37" s="442">
        <v>1</v>
      </c>
      <c r="C37" s="444">
        <v>13.75</v>
      </c>
      <c r="D37" s="599">
        <v>0</v>
      </c>
      <c r="E37" s="599">
        <v>74.8</v>
      </c>
      <c r="F37" s="599">
        <v>0</v>
      </c>
      <c r="G37" s="599">
        <f>E37+C37</f>
        <v>88.55</v>
      </c>
      <c r="H37" s="599">
        <f>D37+F37</f>
        <v>0</v>
      </c>
      <c r="I37" s="600">
        <f t="shared" si="8"/>
        <v>0</v>
      </c>
      <c r="J37" s="599">
        <v>5.5</v>
      </c>
      <c r="K37" s="599">
        <v>0</v>
      </c>
      <c r="L37" s="600">
        <f t="shared" si="9"/>
        <v>0</v>
      </c>
      <c r="M37" s="599">
        <v>52</v>
      </c>
      <c r="N37" s="599">
        <v>0</v>
      </c>
      <c r="O37" s="600">
        <f t="shared" si="10"/>
        <v>0</v>
      </c>
      <c r="P37" s="599">
        <f t="shared" si="11"/>
        <v>146.05000000000001</v>
      </c>
      <c r="Q37" s="599">
        <f t="shared" si="11"/>
        <v>0</v>
      </c>
      <c r="R37" s="600">
        <f t="shared" si="12"/>
        <v>0</v>
      </c>
    </row>
    <row r="38" spans="1:18">
      <c r="A38" s="442" t="s">
        <v>505</v>
      </c>
      <c r="B38" s="442">
        <f>B37+B36+B35</f>
        <v>7</v>
      </c>
      <c r="C38" s="444">
        <f t="shared" ref="C38:H38" si="13">SUM(C35:C37)</f>
        <v>168.45</v>
      </c>
      <c r="D38" s="599">
        <f t="shared" si="13"/>
        <v>19.73</v>
      </c>
      <c r="E38" s="599">
        <f t="shared" si="13"/>
        <v>189.2</v>
      </c>
      <c r="F38" s="599">
        <f t="shared" si="13"/>
        <v>0</v>
      </c>
      <c r="G38" s="599">
        <f t="shared" si="13"/>
        <v>357.65000000000003</v>
      </c>
      <c r="H38" s="599">
        <f t="shared" si="13"/>
        <v>19.73</v>
      </c>
      <c r="I38" s="600">
        <f t="shared" si="8"/>
        <v>5.5165664756046411</v>
      </c>
      <c r="J38" s="599">
        <f>SUM(J35:J37)</f>
        <v>62.339999999999996</v>
      </c>
      <c r="K38" s="599">
        <f>SUM(K35:K37)</f>
        <v>7.44</v>
      </c>
      <c r="L38" s="600">
        <f t="shared" si="9"/>
        <v>11.934552454282965</v>
      </c>
      <c r="M38" s="599">
        <f>SUM(M35:M37)</f>
        <v>623.84999999999991</v>
      </c>
      <c r="N38" s="599">
        <f>SUM(N35:N37)</f>
        <v>463.81</v>
      </c>
      <c r="O38" s="600">
        <f t="shared" si="10"/>
        <v>74.346397371162951</v>
      </c>
      <c r="P38" s="599">
        <f>SUM(P35:P37)</f>
        <v>1043.8399999999999</v>
      </c>
      <c r="Q38" s="599">
        <f>H38+K38+N38</f>
        <v>490.98</v>
      </c>
      <c r="R38" s="600">
        <f t="shared" si="12"/>
        <v>47.035944206008587</v>
      </c>
    </row>
    <row r="39" spans="1:18">
      <c r="A39" s="574"/>
      <c r="B39" s="574"/>
      <c r="C39" s="610"/>
      <c r="D39" s="567"/>
      <c r="E39" s="567"/>
      <c r="F39" s="567"/>
      <c r="G39" s="567"/>
      <c r="H39" s="567"/>
      <c r="I39" s="609"/>
      <c r="J39" s="567"/>
      <c r="K39" s="567"/>
      <c r="L39" s="609"/>
      <c r="M39" s="567"/>
      <c r="N39" s="567"/>
      <c r="O39" s="609"/>
      <c r="P39" s="567"/>
      <c r="Q39" s="567"/>
      <c r="R39" s="609"/>
    </row>
    <row r="40" spans="1:18">
      <c r="A40" s="574"/>
      <c r="B40" s="574"/>
      <c r="C40" s="610"/>
      <c r="D40" s="567"/>
      <c r="E40" s="567"/>
      <c r="F40" s="567"/>
      <c r="G40" s="567"/>
      <c r="H40" s="567"/>
      <c r="I40" s="609"/>
      <c r="J40" s="567"/>
      <c r="K40" s="567"/>
      <c r="L40" s="609"/>
      <c r="M40" s="567"/>
      <c r="N40" s="567"/>
      <c r="O40" s="609"/>
      <c r="P40" s="567"/>
      <c r="Q40" s="567"/>
      <c r="R40" s="609"/>
    </row>
    <row r="41" spans="1:18" s="741" customFormat="1">
      <c r="A41" s="574"/>
      <c r="B41" s="574"/>
      <c r="C41" s="610"/>
      <c r="D41" s="567"/>
      <c r="E41" s="567"/>
      <c r="F41" s="567"/>
      <c r="G41" s="567"/>
      <c r="H41" s="567"/>
      <c r="I41" s="609"/>
      <c r="J41" s="567"/>
      <c r="K41" s="567"/>
      <c r="L41" s="609"/>
      <c r="M41" s="567"/>
      <c r="N41" s="567"/>
      <c r="O41" s="609"/>
      <c r="P41" s="567"/>
      <c r="Q41" s="567"/>
      <c r="R41" s="609"/>
    </row>
    <row r="42" spans="1:18">
      <c r="A42" s="568"/>
      <c r="B42" s="568"/>
      <c r="C42" s="611"/>
      <c r="D42" s="569"/>
      <c r="E42" s="569"/>
      <c r="F42" s="569"/>
      <c r="G42" s="570"/>
      <c r="H42" s="570"/>
      <c r="I42" s="612"/>
      <c r="J42" s="570"/>
      <c r="K42" s="570"/>
      <c r="L42" s="612"/>
      <c r="M42" s="570"/>
      <c r="N42" s="570"/>
      <c r="O42" s="612"/>
      <c r="P42" s="570"/>
      <c r="Q42" s="570"/>
      <c r="R42" s="612"/>
    </row>
    <row r="43" spans="1:18" s="741" customFormat="1">
      <c r="A43" s="568"/>
      <c r="B43" s="568"/>
      <c r="C43" s="611"/>
      <c r="D43" s="569"/>
      <c r="E43" s="569"/>
      <c r="F43" s="569"/>
      <c r="G43" s="570"/>
      <c r="H43" s="570"/>
      <c r="I43" s="612"/>
      <c r="J43" s="570"/>
      <c r="K43" s="570"/>
      <c r="L43" s="612"/>
      <c r="M43" s="570"/>
      <c r="N43" s="570"/>
      <c r="O43" s="612"/>
      <c r="P43" s="570"/>
      <c r="Q43" s="570"/>
      <c r="R43" s="612"/>
    </row>
    <row r="44" spans="1:18">
      <c r="A44" s="1641">
        <v>46</v>
      </c>
      <c r="B44" s="1641"/>
      <c r="C44" s="1641"/>
      <c r="D44" s="1641"/>
      <c r="E44" s="1641"/>
      <c r="F44" s="1641"/>
      <c r="G44" s="1641"/>
      <c r="H44" s="1641"/>
      <c r="I44" s="1641"/>
      <c r="J44" s="1641"/>
      <c r="K44" s="1641"/>
      <c r="L44" s="1641"/>
      <c r="M44" s="1641"/>
      <c r="N44" s="1641"/>
      <c r="O44" s="1641"/>
      <c r="P44" s="1641"/>
      <c r="Q44" s="1641"/>
      <c r="R44" s="1641"/>
    </row>
    <row r="45" spans="1:18">
      <c r="A45" s="606" t="s">
        <v>539</v>
      </c>
      <c r="B45" s="1639" t="s">
        <v>540</v>
      </c>
      <c r="C45" s="1639"/>
      <c r="D45" s="1626" t="s">
        <v>541</v>
      </c>
      <c r="E45" s="1626"/>
      <c r="F45" s="1626"/>
      <c r="G45" s="1626"/>
      <c r="H45" s="1626"/>
      <c r="I45" s="1626"/>
      <c r="J45" s="1626"/>
      <c r="K45" s="1626"/>
      <c r="L45" s="1626"/>
      <c r="M45" s="1626"/>
      <c r="N45" s="1626"/>
      <c r="O45" s="613"/>
      <c r="P45" s="567"/>
      <c r="Q45" s="1627" t="s">
        <v>315</v>
      </c>
      <c r="R45" s="1627"/>
    </row>
    <row r="46" spans="1:18">
      <c r="A46" s="1621" t="s">
        <v>343</v>
      </c>
      <c r="B46" s="1622" t="s">
        <v>501</v>
      </c>
      <c r="C46" s="1622" t="s">
        <v>484</v>
      </c>
      <c r="D46" s="1622"/>
      <c r="E46" s="1622" t="s">
        <v>485</v>
      </c>
      <c r="F46" s="1622"/>
      <c r="G46" s="1625" t="s">
        <v>486</v>
      </c>
      <c r="H46" s="1625"/>
      <c r="I46" s="1625"/>
      <c r="J46" s="1625" t="s">
        <v>487</v>
      </c>
      <c r="K46" s="1625"/>
      <c r="L46" s="1625"/>
      <c r="M46" s="1625" t="s">
        <v>488</v>
      </c>
      <c r="N46" s="1625"/>
      <c r="O46" s="1625"/>
      <c r="P46" s="1622" t="s">
        <v>489</v>
      </c>
      <c r="Q46" s="1622"/>
      <c r="R46" s="1622"/>
    </row>
    <row r="47" spans="1:18">
      <c r="A47" s="1621"/>
      <c r="B47" s="1622"/>
      <c r="C47" s="597" t="s">
        <v>530</v>
      </c>
      <c r="D47" s="441" t="s">
        <v>531</v>
      </c>
      <c r="E47" s="441" t="s">
        <v>490</v>
      </c>
      <c r="F47" s="441" t="s">
        <v>531</v>
      </c>
      <c r="G47" s="441" t="s">
        <v>490</v>
      </c>
      <c r="H47" s="441" t="s">
        <v>531</v>
      </c>
      <c r="I47" s="1042" t="s">
        <v>532</v>
      </c>
      <c r="J47" s="441" t="s">
        <v>490</v>
      </c>
      <c r="K47" s="441" t="s">
        <v>531</v>
      </c>
      <c r="L47" s="1042" t="s">
        <v>532</v>
      </c>
      <c r="M47" s="441" t="s">
        <v>490</v>
      </c>
      <c r="N47" s="441" t="s">
        <v>531</v>
      </c>
      <c r="O47" s="1042" t="s">
        <v>532</v>
      </c>
      <c r="P47" s="441" t="s">
        <v>490</v>
      </c>
      <c r="Q47" s="441" t="s">
        <v>531</v>
      </c>
      <c r="R47" s="1042" t="s">
        <v>532</v>
      </c>
    </row>
    <row r="48" spans="1:18">
      <c r="A48" s="560" t="s">
        <v>10</v>
      </c>
      <c r="B48" s="560">
        <v>3</v>
      </c>
      <c r="C48" s="571">
        <v>96.88</v>
      </c>
      <c r="D48" s="599">
        <v>0</v>
      </c>
      <c r="E48" s="599">
        <v>107.82</v>
      </c>
      <c r="F48" s="599">
        <v>0</v>
      </c>
      <c r="G48" s="599">
        <f>E48+C48</f>
        <v>204.7</v>
      </c>
      <c r="H48" s="599">
        <f>D48+F48</f>
        <v>0</v>
      </c>
      <c r="I48" s="599">
        <f>(H48/G48*100)</f>
        <v>0</v>
      </c>
      <c r="J48" s="599">
        <v>80.25</v>
      </c>
      <c r="K48" s="599">
        <v>0</v>
      </c>
      <c r="L48" s="599">
        <f>(K48/J48*100)</f>
        <v>0</v>
      </c>
      <c r="M48" s="599">
        <v>510</v>
      </c>
      <c r="N48" s="599">
        <v>3</v>
      </c>
      <c r="O48" s="599">
        <f>(N48/M48*100)</f>
        <v>0.58823529411764708</v>
      </c>
      <c r="P48" s="599">
        <f>M48+J48+G48</f>
        <v>794.95</v>
      </c>
      <c r="Q48" s="599">
        <f>H48+K48+N48</f>
        <v>3</v>
      </c>
      <c r="R48" s="599">
        <f>(Q48/P48*100)</f>
        <v>0.37738222529718846</v>
      </c>
    </row>
    <row r="49" spans="1:18">
      <c r="A49" s="442" t="s">
        <v>17</v>
      </c>
      <c r="B49" s="442">
        <v>1</v>
      </c>
      <c r="C49" s="443">
        <v>46</v>
      </c>
      <c r="D49" s="599">
        <v>0</v>
      </c>
      <c r="E49" s="599">
        <v>48.5</v>
      </c>
      <c r="F49" s="599">
        <v>0</v>
      </c>
      <c r="G49" s="599">
        <f>E49+C49</f>
        <v>94.5</v>
      </c>
      <c r="H49" s="599">
        <f t="shared" ref="H49:H58" si="14">D49+F49</f>
        <v>0</v>
      </c>
      <c r="I49" s="600">
        <f t="shared" ref="I49:I58" si="15">(H49/G49*100)</f>
        <v>0</v>
      </c>
      <c r="J49" s="599">
        <v>20.440000000000001</v>
      </c>
      <c r="K49" s="599">
        <v>0</v>
      </c>
      <c r="L49" s="600">
        <f t="shared" ref="L49:L59" si="16">(K49/J49*100)</f>
        <v>0</v>
      </c>
      <c r="M49" s="599">
        <v>49.15</v>
      </c>
      <c r="N49" s="599">
        <v>3</v>
      </c>
      <c r="O49" s="600">
        <f t="shared" ref="O49:O59" si="17">(N49/M49*100)</f>
        <v>6.1037639877924725</v>
      </c>
      <c r="P49" s="599">
        <f>G49+J49+M49</f>
        <v>164.09</v>
      </c>
      <c r="Q49" s="599">
        <f t="shared" ref="Q49:Q59" si="18">H49+K49+N49</f>
        <v>3</v>
      </c>
      <c r="R49" s="600">
        <f t="shared" ref="R49:R59" si="19">(Q49/P49*100)</f>
        <v>1.8282649765372663</v>
      </c>
    </row>
    <row r="50" spans="1:18">
      <c r="A50" s="571" t="s">
        <v>27</v>
      </c>
      <c r="B50" s="571">
        <v>1</v>
      </c>
      <c r="C50" s="599">
        <v>17</v>
      </c>
      <c r="D50" s="599">
        <v>0</v>
      </c>
      <c r="E50" s="599">
        <v>0.4</v>
      </c>
      <c r="F50" s="599">
        <v>0</v>
      </c>
      <c r="G50" s="599">
        <f>E50+C50</f>
        <v>17.399999999999999</v>
      </c>
      <c r="H50" s="599">
        <f t="shared" si="14"/>
        <v>0</v>
      </c>
      <c r="I50" s="599">
        <f t="shared" si="15"/>
        <v>0</v>
      </c>
      <c r="J50" s="599">
        <v>222.9</v>
      </c>
      <c r="K50" s="599">
        <v>6.96</v>
      </c>
      <c r="L50" s="599">
        <f t="shared" si="16"/>
        <v>3.1224764468371466</v>
      </c>
      <c r="M50" s="599">
        <v>2.25</v>
      </c>
      <c r="N50" s="599">
        <v>0</v>
      </c>
      <c r="O50" s="599">
        <f t="shared" si="17"/>
        <v>0</v>
      </c>
      <c r="P50" s="599">
        <f>G50+J50+M50</f>
        <v>242.55</v>
      </c>
      <c r="Q50" s="599">
        <f t="shared" si="18"/>
        <v>6.96</v>
      </c>
      <c r="R50" s="599">
        <f t="shared" si="19"/>
        <v>2.8695114409400122</v>
      </c>
    </row>
    <row r="51" spans="1:18">
      <c r="A51" s="442" t="s">
        <v>11</v>
      </c>
      <c r="B51" s="442">
        <v>1</v>
      </c>
      <c r="C51" s="443">
        <v>25</v>
      </c>
      <c r="D51" s="599">
        <v>0</v>
      </c>
      <c r="E51" s="599">
        <v>0</v>
      </c>
      <c r="F51" s="599">
        <v>0</v>
      </c>
      <c r="G51" s="599">
        <f>E51+C51</f>
        <v>25</v>
      </c>
      <c r="H51" s="599">
        <f t="shared" si="14"/>
        <v>0</v>
      </c>
      <c r="I51" s="600">
        <f t="shared" si="15"/>
        <v>0</v>
      </c>
      <c r="J51" s="599">
        <v>8</v>
      </c>
      <c r="K51" s="599">
        <v>0</v>
      </c>
      <c r="L51" s="600">
        <f t="shared" si="16"/>
        <v>0</v>
      </c>
      <c r="M51" s="599">
        <v>4</v>
      </c>
      <c r="N51" s="599">
        <v>0</v>
      </c>
      <c r="O51" s="600">
        <f>(N51/M51*100)</f>
        <v>0</v>
      </c>
      <c r="P51" s="599">
        <f>G51+J51+M51</f>
        <v>37</v>
      </c>
      <c r="Q51" s="599">
        <f t="shared" si="18"/>
        <v>0</v>
      </c>
      <c r="R51" s="600">
        <f t="shared" si="19"/>
        <v>0</v>
      </c>
    </row>
    <row r="52" spans="1:18">
      <c r="A52" s="442" t="s">
        <v>26</v>
      </c>
      <c r="B52" s="442">
        <v>1</v>
      </c>
      <c r="C52" s="599">
        <v>25</v>
      </c>
      <c r="D52" s="599">
        <v>0</v>
      </c>
      <c r="E52" s="599">
        <v>0</v>
      </c>
      <c r="F52" s="599">
        <v>6.38</v>
      </c>
      <c r="G52" s="599">
        <f t="shared" ref="G52:G58" si="20">E52+C52</f>
        <v>25</v>
      </c>
      <c r="H52" s="599">
        <f t="shared" si="14"/>
        <v>6.38</v>
      </c>
      <c r="I52" s="599">
        <f t="shared" si="15"/>
        <v>25.52</v>
      </c>
      <c r="J52" s="599">
        <v>46.85</v>
      </c>
      <c r="K52" s="599">
        <v>0</v>
      </c>
      <c r="L52" s="599">
        <f t="shared" si="16"/>
        <v>0</v>
      </c>
      <c r="M52" s="599">
        <v>6.5</v>
      </c>
      <c r="N52" s="599">
        <v>2.95</v>
      </c>
      <c r="O52" s="599">
        <f t="shared" si="17"/>
        <v>45.384615384615387</v>
      </c>
      <c r="P52" s="599">
        <f>G52+J52+M52</f>
        <v>78.349999999999994</v>
      </c>
      <c r="Q52" s="599">
        <f t="shared" si="18"/>
        <v>9.33</v>
      </c>
      <c r="R52" s="599">
        <f t="shared" si="19"/>
        <v>11.90810465858328</v>
      </c>
    </row>
    <row r="53" spans="1:18">
      <c r="A53" s="442" t="s">
        <v>19</v>
      </c>
      <c r="B53" s="442">
        <v>1</v>
      </c>
      <c r="C53" s="443">
        <v>37</v>
      </c>
      <c r="D53" s="599">
        <v>0</v>
      </c>
      <c r="E53" s="599">
        <v>9.1</v>
      </c>
      <c r="F53" s="599">
        <v>0</v>
      </c>
      <c r="G53" s="599">
        <f t="shared" si="20"/>
        <v>46.1</v>
      </c>
      <c r="H53" s="599">
        <f t="shared" si="14"/>
        <v>0</v>
      </c>
      <c r="I53" s="600">
        <f t="shared" si="15"/>
        <v>0</v>
      </c>
      <c r="J53" s="599">
        <v>79.5</v>
      </c>
      <c r="K53" s="599">
        <v>0</v>
      </c>
      <c r="L53" s="600">
        <f t="shared" si="16"/>
        <v>0</v>
      </c>
      <c r="M53" s="599">
        <v>361.2</v>
      </c>
      <c r="N53" s="599">
        <v>3.5</v>
      </c>
      <c r="O53" s="600">
        <f t="shared" si="17"/>
        <v>0.96899224806201545</v>
      </c>
      <c r="P53" s="599">
        <f>G53+J53+M53</f>
        <v>486.79999999999995</v>
      </c>
      <c r="Q53" s="599">
        <f t="shared" si="18"/>
        <v>3.5</v>
      </c>
      <c r="R53" s="600">
        <f t="shared" si="19"/>
        <v>0.71898110106820057</v>
      </c>
    </row>
    <row r="54" spans="1:18">
      <c r="A54" s="572" t="s">
        <v>56</v>
      </c>
      <c r="B54" s="572">
        <v>1</v>
      </c>
      <c r="C54" s="444">
        <v>50.45</v>
      </c>
      <c r="D54" s="599">
        <v>0</v>
      </c>
      <c r="E54" s="599">
        <v>173.35</v>
      </c>
      <c r="F54" s="599">
        <v>33.5</v>
      </c>
      <c r="G54" s="599">
        <f t="shared" si="20"/>
        <v>223.8</v>
      </c>
      <c r="H54" s="599">
        <f t="shared" si="14"/>
        <v>33.5</v>
      </c>
      <c r="I54" s="600">
        <f t="shared" si="15"/>
        <v>14.968722073279714</v>
      </c>
      <c r="J54" s="599">
        <v>264.25</v>
      </c>
      <c r="K54" s="599">
        <v>278.2</v>
      </c>
      <c r="L54" s="600">
        <f t="shared" si="16"/>
        <v>105.279091769158</v>
      </c>
      <c r="M54" s="599">
        <v>524.35</v>
      </c>
      <c r="N54" s="599">
        <v>30</v>
      </c>
      <c r="O54" s="600">
        <f t="shared" si="17"/>
        <v>5.7213693143892437</v>
      </c>
      <c r="P54" s="599">
        <f>M54+J54+G54</f>
        <v>1012.4000000000001</v>
      </c>
      <c r="Q54" s="599">
        <f t="shared" si="18"/>
        <v>341.7</v>
      </c>
      <c r="R54" s="600">
        <f t="shared" si="19"/>
        <v>33.751481627815089</v>
      </c>
    </row>
    <row r="55" spans="1:18">
      <c r="A55" s="442" t="s">
        <v>28</v>
      </c>
      <c r="B55" s="442">
        <v>1</v>
      </c>
      <c r="C55" s="443">
        <v>15</v>
      </c>
      <c r="D55" s="599">
        <v>0</v>
      </c>
      <c r="E55" s="599">
        <v>8.25</v>
      </c>
      <c r="F55" s="599">
        <v>0</v>
      </c>
      <c r="G55" s="599">
        <f t="shared" si="20"/>
        <v>23.25</v>
      </c>
      <c r="H55" s="599">
        <v>0</v>
      </c>
      <c r="I55" s="600">
        <v>0</v>
      </c>
      <c r="J55" s="599">
        <v>7.85</v>
      </c>
      <c r="K55" s="599">
        <v>0</v>
      </c>
      <c r="L55" s="600">
        <v>0</v>
      </c>
      <c r="M55" s="599">
        <v>20</v>
      </c>
      <c r="N55" s="599">
        <v>0</v>
      </c>
      <c r="O55" s="600">
        <v>0</v>
      </c>
      <c r="P55" s="599">
        <f>M55+J55+G55</f>
        <v>51.1</v>
      </c>
      <c r="Q55" s="599">
        <f>H55+K55+N55</f>
        <v>0</v>
      </c>
      <c r="R55" s="600">
        <v>0</v>
      </c>
    </row>
    <row r="56" spans="1:18">
      <c r="A56" s="442" t="s">
        <v>502</v>
      </c>
      <c r="B56" s="442">
        <v>10</v>
      </c>
      <c r="C56" s="444">
        <f>SUM(C48:C55)</f>
        <v>312.33</v>
      </c>
      <c r="D56" s="599">
        <f>SUM(D48:D55)</f>
        <v>0</v>
      </c>
      <c r="E56" s="599">
        <f>SUM(E48:E55)</f>
        <v>347.41999999999996</v>
      </c>
      <c r="F56" s="599">
        <f>SUM(F48:F55)</f>
        <v>39.880000000000003</v>
      </c>
      <c r="G56" s="599">
        <f t="shared" si="20"/>
        <v>659.75</v>
      </c>
      <c r="H56" s="599">
        <f t="shared" si="14"/>
        <v>39.880000000000003</v>
      </c>
      <c r="I56" s="600">
        <f t="shared" si="15"/>
        <v>6.0447139067828726</v>
      </c>
      <c r="J56" s="599">
        <f>SUM(J48:J55)</f>
        <v>730.04000000000008</v>
      </c>
      <c r="K56" s="599">
        <f>SUM(K48:K55)</f>
        <v>285.15999999999997</v>
      </c>
      <c r="L56" s="600">
        <f t="shared" si="16"/>
        <v>39.060873376801261</v>
      </c>
      <c r="M56" s="599">
        <f>SUM(M48:M55)</f>
        <v>1477.4499999999998</v>
      </c>
      <c r="N56" s="599">
        <f>SUM(N48:N55)</f>
        <v>42.45</v>
      </c>
      <c r="O56" s="600">
        <f t="shared" si="17"/>
        <v>2.8731936782970662</v>
      </c>
      <c r="P56" s="599">
        <f>SUM(P48:P55)</f>
        <v>2867.2400000000002</v>
      </c>
      <c r="Q56" s="599">
        <f t="shared" si="18"/>
        <v>367.48999999999995</v>
      </c>
      <c r="R56" s="600">
        <f t="shared" si="19"/>
        <v>12.816855233604441</v>
      </c>
    </row>
    <row r="57" spans="1:18">
      <c r="A57" s="442" t="s">
        <v>115</v>
      </c>
      <c r="B57" s="442">
        <v>6</v>
      </c>
      <c r="C57" s="443">
        <v>140</v>
      </c>
      <c r="D57" s="599">
        <v>25.15</v>
      </c>
      <c r="E57" s="599">
        <v>47.85</v>
      </c>
      <c r="F57" s="599">
        <v>0</v>
      </c>
      <c r="G57" s="599">
        <f t="shared" si="20"/>
        <v>187.85</v>
      </c>
      <c r="H57" s="599">
        <f t="shared" si="14"/>
        <v>25.15</v>
      </c>
      <c r="I57" s="600">
        <f t="shared" si="15"/>
        <v>13.388341762044185</v>
      </c>
      <c r="J57" s="599">
        <v>12.8</v>
      </c>
      <c r="K57" s="599">
        <v>50</v>
      </c>
      <c r="L57" s="600">
        <f t="shared" si="16"/>
        <v>390.625</v>
      </c>
      <c r="M57" s="599">
        <v>555.4</v>
      </c>
      <c r="N57" s="599">
        <v>218.37</v>
      </c>
      <c r="O57" s="600">
        <f t="shared" si="17"/>
        <v>39.317608930500541</v>
      </c>
      <c r="P57" s="599">
        <f>M57+J57+G57</f>
        <v>756.05</v>
      </c>
      <c r="Q57" s="599">
        <f>H57+K57+N57</f>
        <v>293.52</v>
      </c>
      <c r="R57" s="600">
        <f t="shared" si="19"/>
        <v>38.822829177964415</v>
      </c>
    </row>
    <row r="58" spans="1:18">
      <c r="A58" s="442" t="s">
        <v>507</v>
      </c>
      <c r="B58" s="442">
        <v>1</v>
      </c>
      <c r="C58" s="443">
        <v>3.7</v>
      </c>
      <c r="D58" s="599">
        <v>0</v>
      </c>
      <c r="E58" s="599">
        <v>84.8</v>
      </c>
      <c r="F58" s="599">
        <v>23.4</v>
      </c>
      <c r="G58" s="599">
        <f t="shared" si="20"/>
        <v>88.5</v>
      </c>
      <c r="H58" s="599">
        <f t="shared" si="14"/>
        <v>23.4</v>
      </c>
      <c r="I58" s="600">
        <f t="shared" si="15"/>
        <v>26.440677966101696</v>
      </c>
      <c r="J58" s="599">
        <v>5.5</v>
      </c>
      <c r="K58" s="599">
        <v>0</v>
      </c>
      <c r="L58" s="600">
        <f t="shared" si="16"/>
        <v>0</v>
      </c>
      <c r="M58" s="599">
        <v>52</v>
      </c>
      <c r="N58" s="599">
        <v>0</v>
      </c>
      <c r="O58" s="600">
        <f t="shared" si="17"/>
        <v>0</v>
      </c>
      <c r="P58" s="599">
        <f>G58+J58+M58</f>
        <v>146</v>
      </c>
      <c r="Q58" s="599">
        <f t="shared" si="18"/>
        <v>23.4</v>
      </c>
      <c r="R58" s="600">
        <f t="shared" si="19"/>
        <v>16.027397260273972</v>
      </c>
    </row>
    <row r="59" spans="1:18">
      <c r="A59" s="442" t="s">
        <v>505</v>
      </c>
      <c r="B59" s="442">
        <f>SUM(B56:B58)</f>
        <v>17</v>
      </c>
      <c r="C59" s="443">
        <f>SUM(C56:C58)</f>
        <v>456.03</v>
      </c>
      <c r="D59" s="599">
        <f>SUM(D56:D58)</f>
        <v>25.15</v>
      </c>
      <c r="E59" s="599">
        <f>SUM(E56:E58)</f>
        <v>480.07</v>
      </c>
      <c r="F59" s="599">
        <f>SUM(F56:F58)</f>
        <v>63.28</v>
      </c>
      <c r="G59" s="599">
        <f>E59+C59</f>
        <v>936.09999999999991</v>
      </c>
      <c r="H59" s="599">
        <f>F59+D59</f>
        <v>88.43</v>
      </c>
      <c r="I59" s="600">
        <f>(H59/G59*100)</f>
        <v>9.446640316205535</v>
      </c>
      <c r="J59" s="599">
        <f>SUM(J56:J58)</f>
        <v>748.34</v>
      </c>
      <c r="K59" s="599">
        <f>K56+K57+K58</f>
        <v>335.15999999999997</v>
      </c>
      <c r="L59" s="600">
        <f t="shared" si="16"/>
        <v>44.787128845177321</v>
      </c>
      <c r="M59" s="599">
        <f>SUM(M56:M58)</f>
        <v>2084.85</v>
      </c>
      <c r="N59" s="599">
        <f>SUM(N56:N58)</f>
        <v>260.82</v>
      </c>
      <c r="O59" s="600">
        <f t="shared" si="17"/>
        <v>12.510252536153679</v>
      </c>
      <c r="P59" s="599">
        <f>SUM(P56:P58)</f>
        <v>3769.29</v>
      </c>
      <c r="Q59" s="599">
        <f t="shared" si="18"/>
        <v>684.41</v>
      </c>
      <c r="R59" s="600">
        <f t="shared" si="19"/>
        <v>18.157530993900707</v>
      </c>
    </row>
    <row r="60" spans="1:18">
      <c r="A60" s="574"/>
      <c r="B60" s="574"/>
      <c r="C60" s="580"/>
      <c r="D60" s="567"/>
      <c r="E60" s="567"/>
      <c r="F60" s="567"/>
      <c r="G60" s="567"/>
      <c r="H60" s="567"/>
      <c r="I60" s="609"/>
      <c r="J60" s="567"/>
      <c r="K60" s="567"/>
      <c r="L60" s="609"/>
      <c r="M60" s="567"/>
      <c r="N60" s="567"/>
      <c r="O60" s="609"/>
      <c r="P60" s="567"/>
      <c r="Q60" s="567"/>
      <c r="R60" s="609"/>
    </row>
    <row r="61" spans="1:18">
      <c r="A61" s="563"/>
      <c r="B61" s="563"/>
      <c r="C61" s="601"/>
      <c r="D61" s="564"/>
      <c r="E61" s="565"/>
      <c r="F61" s="565"/>
      <c r="G61" s="565"/>
      <c r="H61" s="565"/>
      <c r="I61" s="603"/>
      <c r="J61" s="565"/>
      <c r="K61" s="565"/>
      <c r="L61" s="603"/>
      <c r="M61" s="565"/>
      <c r="N61" s="565"/>
      <c r="O61" s="603"/>
      <c r="P61" s="565"/>
      <c r="Q61" s="565"/>
      <c r="R61" s="603"/>
    </row>
    <row r="62" spans="1:18">
      <c r="A62" s="606" t="s">
        <v>537</v>
      </c>
      <c r="B62" s="1639" t="s">
        <v>542</v>
      </c>
      <c r="C62" s="1639"/>
      <c r="D62" s="1626" t="s">
        <v>541</v>
      </c>
      <c r="E62" s="1626"/>
      <c r="F62" s="1626"/>
      <c r="G62" s="1626"/>
      <c r="H62" s="1626"/>
      <c r="I62" s="1626"/>
      <c r="J62" s="1626"/>
      <c r="K62" s="1626"/>
      <c r="L62" s="1626"/>
      <c r="M62" s="1626"/>
      <c r="N62" s="567"/>
      <c r="O62" s="613"/>
      <c r="P62" s="573"/>
      <c r="Q62" s="573"/>
      <c r="R62" s="613"/>
    </row>
    <row r="63" spans="1:18">
      <c r="A63" s="1621" t="s">
        <v>343</v>
      </c>
      <c r="B63" s="1622" t="s">
        <v>501</v>
      </c>
      <c r="C63" s="1622" t="s">
        <v>484</v>
      </c>
      <c r="D63" s="1622"/>
      <c r="E63" s="1622" t="s">
        <v>485</v>
      </c>
      <c r="F63" s="1622"/>
      <c r="G63" s="1625" t="s">
        <v>486</v>
      </c>
      <c r="H63" s="1625"/>
      <c r="I63" s="1625"/>
      <c r="J63" s="1625" t="s">
        <v>487</v>
      </c>
      <c r="K63" s="1625"/>
      <c r="L63" s="1625"/>
      <c r="M63" s="1625" t="s">
        <v>488</v>
      </c>
      <c r="N63" s="1625"/>
      <c r="O63" s="1625"/>
      <c r="P63" s="1625" t="s">
        <v>489</v>
      </c>
      <c r="Q63" s="1625"/>
      <c r="R63" s="1625"/>
    </row>
    <row r="64" spans="1:18">
      <c r="A64" s="1621"/>
      <c r="B64" s="1622"/>
      <c r="C64" s="597" t="s">
        <v>530</v>
      </c>
      <c r="D64" s="441" t="s">
        <v>531</v>
      </c>
      <c r="E64" s="441" t="s">
        <v>490</v>
      </c>
      <c r="F64" s="441" t="s">
        <v>531</v>
      </c>
      <c r="G64" s="441" t="s">
        <v>490</v>
      </c>
      <c r="H64" s="441" t="s">
        <v>531</v>
      </c>
      <c r="I64" s="1042" t="s">
        <v>532</v>
      </c>
      <c r="J64" s="441" t="s">
        <v>490</v>
      </c>
      <c r="K64" s="441" t="s">
        <v>531</v>
      </c>
      <c r="L64" s="1042" t="s">
        <v>532</v>
      </c>
      <c r="M64" s="441" t="s">
        <v>490</v>
      </c>
      <c r="N64" s="441" t="s">
        <v>531</v>
      </c>
      <c r="O64" s="1042" t="s">
        <v>532</v>
      </c>
      <c r="P64" s="441" t="s">
        <v>490</v>
      </c>
      <c r="Q64" s="441" t="s">
        <v>531</v>
      </c>
      <c r="R64" s="1042" t="s">
        <v>532</v>
      </c>
    </row>
    <row r="65" spans="1:18">
      <c r="A65" s="560" t="s">
        <v>10</v>
      </c>
      <c r="B65" s="560">
        <v>5</v>
      </c>
      <c r="C65" s="599">
        <v>161.4</v>
      </c>
      <c r="D65" s="599">
        <v>18.899999999999999</v>
      </c>
      <c r="E65" s="599">
        <v>189.8</v>
      </c>
      <c r="F65" s="599">
        <v>54.5</v>
      </c>
      <c r="G65" s="599">
        <f t="shared" ref="G65:G70" si="21">E65+C65</f>
        <v>351.20000000000005</v>
      </c>
      <c r="H65" s="599">
        <f t="shared" ref="H65:H70" si="22">D65+F65</f>
        <v>73.400000000000006</v>
      </c>
      <c r="I65" s="599">
        <f t="shared" ref="I65:I71" si="23">(H65/G65*100)</f>
        <v>20.899772209567196</v>
      </c>
      <c r="J65" s="599">
        <v>130.69999999999999</v>
      </c>
      <c r="K65" s="599">
        <v>5.2</v>
      </c>
      <c r="L65" s="599">
        <f>(K65/J65*100)</f>
        <v>3.9785768936495796</v>
      </c>
      <c r="M65" s="599">
        <v>850.15</v>
      </c>
      <c r="N65" s="599">
        <v>149.65</v>
      </c>
      <c r="O65" s="599">
        <f t="shared" ref="O65:O71" si="24">(N65/M65*100)</f>
        <v>17.602775980709286</v>
      </c>
      <c r="P65" s="599">
        <f t="shared" ref="P65:Q71" si="25">G65+J65+M65</f>
        <v>1332.05</v>
      </c>
      <c r="Q65" s="599">
        <f>H65+K65+N65</f>
        <v>228.25</v>
      </c>
      <c r="R65" s="599">
        <f>(Q65/P65*100)</f>
        <v>17.135242671070909</v>
      </c>
    </row>
    <row r="66" spans="1:18">
      <c r="A66" s="442" t="s">
        <v>56</v>
      </c>
      <c r="B66" s="442">
        <v>1</v>
      </c>
      <c r="C66" s="444">
        <v>50.45</v>
      </c>
      <c r="D66" s="599">
        <v>0</v>
      </c>
      <c r="E66" s="599">
        <v>173.35</v>
      </c>
      <c r="F66" s="599">
        <v>0</v>
      </c>
      <c r="G66" s="599">
        <f t="shared" si="21"/>
        <v>223.8</v>
      </c>
      <c r="H66" s="599">
        <f t="shared" si="22"/>
        <v>0</v>
      </c>
      <c r="I66" s="600">
        <f t="shared" si="23"/>
        <v>0</v>
      </c>
      <c r="J66" s="599">
        <v>174.25</v>
      </c>
      <c r="K66" s="599">
        <v>0</v>
      </c>
      <c r="L66" s="600">
        <f t="shared" ref="L66:L71" si="26">(K66/J66*100)</f>
        <v>0</v>
      </c>
      <c r="M66" s="599">
        <v>524.35</v>
      </c>
      <c r="N66" s="599">
        <v>3.5</v>
      </c>
      <c r="O66" s="600">
        <f t="shared" si="24"/>
        <v>0.66749308667874507</v>
      </c>
      <c r="P66" s="599">
        <f t="shared" si="25"/>
        <v>922.40000000000009</v>
      </c>
      <c r="Q66" s="599">
        <f t="shared" si="25"/>
        <v>3.5</v>
      </c>
      <c r="R66" s="600">
        <f t="shared" ref="R66:R71" si="27">(Q66/P66*100)</f>
        <v>0.37944492627927146</v>
      </c>
    </row>
    <row r="67" spans="1:18">
      <c r="A67" s="442" t="s">
        <v>19</v>
      </c>
      <c r="B67" s="442">
        <v>1</v>
      </c>
      <c r="C67" s="443">
        <v>45</v>
      </c>
      <c r="D67" s="599">
        <v>0</v>
      </c>
      <c r="E67" s="599">
        <v>9.1</v>
      </c>
      <c r="F67" s="599">
        <v>1</v>
      </c>
      <c r="G67" s="599">
        <f t="shared" si="21"/>
        <v>54.1</v>
      </c>
      <c r="H67" s="599">
        <f t="shared" si="22"/>
        <v>1</v>
      </c>
      <c r="I67" s="600">
        <f t="shared" si="23"/>
        <v>1.8484288354898335</v>
      </c>
      <c r="J67" s="599">
        <v>79.5</v>
      </c>
      <c r="K67" s="599">
        <v>0</v>
      </c>
      <c r="L67" s="600">
        <f t="shared" si="26"/>
        <v>0</v>
      </c>
      <c r="M67" s="599">
        <v>361.2</v>
      </c>
      <c r="N67" s="599">
        <v>9.06</v>
      </c>
      <c r="O67" s="600">
        <f t="shared" si="24"/>
        <v>2.5083056478405319</v>
      </c>
      <c r="P67" s="599">
        <f>G67+J67+M67</f>
        <v>494.79999999999995</v>
      </c>
      <c r="Q67" s="599">
        <f t="shared" si="25"/>
        <v>10.06</v>
      </c>
      <c r="R67" s="600">
        <f t="shared" si="27"/>
        <v>2.0331447049312854</v>
      </c>
    </row>
    <row r="68" spans="1:18">
      <c r="A68" s="442" t="s">
        <v>502</v>
      </c>
      <c r="B68" s="442">
        <v>7</v>
      </c>
      <c r="C68" s="443">
        <f>SUM(C65:C67)</f>
        <v>256.85000000000002</v>
      </c>
      <c r="D68" s="599">
        <f>SUM(D65:D67)</f>
        <v>18.899999999999999</v>
      </c>
      <c r="E68" s="599">
        <f>SUM(E65:E67)</f>
        <v>372.25</v>
      </c>
      <c r="F68" s="599">
        <f>SUM(F65:F67)</f>
        <v>55.5</v>
      </c>
      <c r="G68" s="599">
        <f t="shared" si="21"/>
        <v>629.1</v>
      </c>
      <c r="H68" s="599">
        <f t="shared" si="22"/>
        <v>74.400000000000006</v>
      </c>
      <c r="I68" s="600">
        <f t="shared" si="23"/>
        <v>11.826418693371483</v>
      </c>
      <c r="J68" s="599">
        <f>SUM(J65:J67)</f>
        <v>384.45</v>
      </c>
      <c r="K68" s="599">
        <f>SUM(K65:K67)</f>
        <v>5.2</v>
      </c>
      <c r="L68" s="600">
        <f t="shared" si="26"/>
        <v>1.3525816100923398</v>
      </c>
      <c r="M68" s="599">
        <f>SUM(M65:M67)</f>
        <v>1735.7</v>
      </c>
      <c r="N68" s="599">
        <f>SUM(N65:N67)</f>
        <v>162.21</v>
      </c>
      <c r="O68" s="600">
        <f t="shared" si="24"/>
        <v>9.3455090165351162</v>
      </c>
      <c r="P68" s="599">
        <f>SUM(P65:P67)</f>
        <v>2749.25</v>
      </c>
      <c r="Q68" s="599">
        <f t="shared" si="25"/>
        <v>241.81</v>
      </c>
      <c r="R68" s="600">
        <f t="shared" si="27"/>
        <v>8.7954896790033636</v>
      </c>
    </row>
    <row r="69" spans="1:18">
      <c r="A69" s="442" t="s">
        <v>115</v>
      </c>
      <c r="B69" s="442">
        <v>5</v>
      </c>
      <c r="C69" s="443">
        <v>120</v>
      </c>
      <c r="D69" s="599">
        <v>24.6</v>
      </c>
      <c r="E69" s="599">
        <v>36.549999999999997</v>
      </c>
      <c r="F69" s="599">
        <v>0</v>
      </c>
      <c r="G69" s="599">
        <f t="shared" si="21"/>
        <v>156.55000000000001</v>
      </c>
      <c r="H69" s="599">
        <f t="shared" si="22"/>
        <v>24.6</v>
      </c>
      <c r="I69" s="600">
        <f t="shared" si="23"/>
        <v>15.713829447460876</v>
      </c>
      <c r="J69" s="599">
        <v>10.7</v>
      </c>
      <c r="K69" s="599">
        <v>5</v>
      </c>
      <c r="L69" s="600">
        <f t="shared" si="26"/>
        <v>46.728971962616825</v>
      </c>
      <c r="M69" s="599">
        <v>462.85</v>
      </c>
      <c r="N69" s="599">
        <v>622.25</v>
      </c>
      <c r="O69" s="600">
        <f t="shared" si="24"/>
        <v>134.43880306794858</v>
      </c>
      <c r="P69" s="599">
        <f t="shared" si="25"/>
        <v>630.1</v>
      </c>
      <c r="Q69" s="599">
        <f t="shared" si="25"/>
        <v>651.85</v>
      </c>
      <c r="R69" s="600">
        <f t="shared" si="27"/>
        <v>103.45183304237422</v>
      </c>
    </row>
    <row r="70" spans="1:18">
      <c r="A70" s="442" t="s">
        <v>507</v>
      </c>
      <c r="B70" s="442">
        <v>4</v>
      </c>
      <c r="C70" s="443">
        <v>14.85</v>
      </c>
      <c r="D70" s="599">
        <v>10.61</v>
      </c>
      <c r="E70" s="599">
        <v>337.9</v>
      </c>
      <c r="F70" s="599">
        <v>56.47</v>
      </c>
      <c r="G70" s="599">
        <f t="shared" si="21"/>
        <v>352.75</v>
      </c>
      <c r="H70" s="599">
        <f t="shared" si="22"/>
        <v>67.08</v>
      </c>
      <c r="I70" s="600">
        <f t="shared" si="23"/>
        <v>19.016300496102055</v>
      </c>
      <c r="J70" s="599">
        <v>21.65</v>
      </c>
      <c r="K70" s="599">
        <v>0</v>
      </c>
      <c r="L70" s="600">
        <f t="shared" si="26"/>
        <v>0</v>
      </c>
      <c r="M70" s="599">
        <v>207.55</v>
      </c>
      <c r="N70" s="599">
        <v>28.54</v>
      </c>
      <c r="O70" s="600">
        <f t="shared" si="24"/>
        <v>13.750903396771861</v>
      </c>
      <c r="P70" s="599">
        <f t="shared" si="25"/>
        <v>581.95000000000005</v>
      </c>
      <c r="Q70" s="599">
        <f t="shared" si="25"/>
        <v>95.62</v>
      </c>
      <c r="R70" s="600">
        <f t="shared" si="27"/>
        <v>16.430964859524014</v>
      </c>
    </row>
    <row r="71" spans="1:18">
      <c r="A71" s="442" t="s">
        <v>505</v>
      </c>
      <c r="B71" s="442">
        <f>SUM(B68:B70)</f>
        <v>16</v>
      </c>
      <c r="C71" s="443">
        <f>SUM(C68:C70)</f>
        <v>391.70000000000005</v>
      </c>
      <c r="D71" s="599">
        <f>SUM(D68:D70)</f>
        <v>54.11</v>
      </c>
      <c r="E71" s="599">
        <f>SUM(E68:E70)</f>
        <v>746.7</v>
      </c>
      <c r="F71" s="599">
        <f>SUM(F68:F70)</f>
        <v>111.97</v>
      </c>
      <c r="G71" s="599">
        <f>E71+C71</f>
        <v>1138.4000000000001</v>
      </c>
      <c r="H71" s="599">
        <f>F71+D71</f>
        <v>166.07999999999998</v>
      </c>
      <c r="I71" s="600">
        <f t="shared" si="23"/>
        <v>14.588896697118761</v>
      </c>
      <c r="J71" s="599">
        <f>SUM(J68:J70)</f>
        <v>416.79999999999995</v>
      </c>
      <c r="K71" s="599">
        <f>SUM(K68:K70)</f>
        <v>10.199999999999999</v>
      </c>
      <c r="L71" s="600">
        <f t="shared" si="26"/>
        <v>2.4472168905950098</v>
      </c>
      <c r="M71" s="599">
        <f>SUM(M68:M70)</f>
        <v>2406.1000000000004</v>
      </c>
      <c r="N71" s="599">
        <f>SUM(N68:N70)</f>
        <v>813</v>
      </c>
      <c r="O71" s="600">
        <f t="shared" si="24"/>
        <v>33.789119321723945</v>
      </c>
      <c r="P71" s="599">
        <f>SUM(P68:P70)</f>
        <v>3961.3</v>
      </c>
      <c r="Q71" s="599">
        <f t="shared" si="25"/>
        <v>989.28</v>
      </c>
      <c r="R71" s="600">
        <f t="shared" si="27"/>
        <v>24.973619771287204</v>
      </c>
    </row>
    <row r="72" spans="1:18">
      <c r="A72" s="574"/>
      <c r="B72" s="574"/>
      <c r="C72" s="580"/>
      <c r="D72" s="567"/>
      <c r="E72" s="567"/>
      <c r="F72" s="567"/>
      <c r="G72" s="567"/>
      <c r="H72" s="567"/>
      <c r="I72" s="609"/>
      <c r="J72" s="567"/>
      <c r="K72" s="567"/>
      <c r="L72" s="609"/>
      <c r="M72" s="567"/>
      <c r="N72" s="567"/>
      <c r="O72" s="609"/>
      <c r="P72" s="567"/>
      <c r="Q72" s="567"/>
      <c r="R72" s="609"/>
    </row>
    <row r="73" spans="1:18">
      <c r="A73" s="568"/>
      <c r="B73" s="568"/>
      <c r="C73" s="611"/>
      <c r="D73" s="569"/>
      <c r="E73" s="569"/>
      <c r="F73" s="569"/>
      <c r="G73" s="564"/>
      <c r="H73" s="564"/>
      <c r="I73" s="563"/>
      <c r="J73" s="564"/>
      <c r="K73" s="564"/>
      <c r="L73" s="563"/>
      <c r="M73" s="564"/>
      <c r="N73" s="564"/>
      <c r="O73" s="563"/>
      <c r="P73" s="564"/>
      <c r="Q73" s="564"/>
      <c r="R73" s="563"/>
    </row>
    <row r="74" spans="1:18">
      <c r="A74" s="606" t="s">
        <v>537</v>
      </c>
      <c r="B74" s="1639" t="s">
        <v>401</v>
      </c>
      <c r="C74" s="1639"/>
      <c r="D74" s="1626" t="s">
        <v>541</v>
      </c>
      <c r="E74" s="1626"/>
      <c r="F74" s="1626"/>
      <c r="G74" s="1626"/>
      <c r="H74" s="1626"/>
      <c r="I74" s="1626"/>
      <c r="J74" s="1626"/>
      <c r="K74" s="1626"/>
      <c r="L74" s="1626"/>
      <c r="M74" s="1626"/>
      <c r="N74" s="567"/>
      <c r="O74" s="613"/>
      <c r="P74" s="573"/>
      <c r="Q74" s="573"/>
      <c r="R74" s="613"/>
    </row>
    <row r="75" spans="1:18">
      <c r="A75" s="1621" t="s">
        <v>343</v>
      </c>
      <c r="B75" s="1622" t="s">
        <v>501</v>
      </c>
      <c r="C75" s="1622" t="s">
        <v>484</v>
      </c>
      <c r="D75" s="1622"/>
      <c r="E75" s="1622" t="s">
        <v>485</v>
      </c>
      <c r="F75" s="1622"/>
      <c r="G75" s="1625" t="s">
        <v>486</v>
      </c>
      <c r="H75" s="1625"/>
      <c r="I75" s="1625"/>
      <c r="J75" s="1625" t="s">
        <v>487</v>
      </c>
      <c r="K75" s="1625"/>
      <c r="L75" s="1625"/>
      <c r="M75" s="1625" t="s">
        <v>488</v>
      </c>
      <c r="N75" s="1625"/>
      <c r="O75" s="1625"/>
      <c r="P75" s="1625" t="s">
        <v>489</v>
      </c>
      <c r="Q75" s="1625"/>
      <c r="R75" s="1625"/>
    </row>
    <row r="76" spans="1:18">
      <c r="A76" s="1621"/>
      <c r="B76" s="1622"/>
      <c r="C76" s="597" t="s">
        <v>530</v>
      </c>
      <c r="D76" s="441" t="s">
        <v>531</v>
      </c>
      <c r="E76" s="441" t="s">
        <v>490</v>
      </c>
      <c r="F76" s="441" t="s">
        <v>531</v>
      </c>
      <c r="G76" s="441" t="s">
        <v>490</v>
      </c>
      <c r="H76" s="441" t="s">
        <v>531</v>
      </c>
      <c r="I76" s="1042" t="s">
        <v>532</v>
      </c>
      <c r="J76" s="441" t="s">
        <v>490</v>
      </c>
      <c r="K76" s="441" t="s">
        <v>531</v>
      </c>
      <c r="L76" s="1042" t="s">
        <v>532</v>
      </c>
      <c r="M76" s="441" t="s">
        <v>490</v>
      </c>
      <c r="N76" s="441" t="s">
        <v>531</v>
      </c>
      <c r="O76" s="1042" t="s">
        <v>532</v>
      </c>
      <c r="P76" s="441" t="s">
        <v>490</v>
      </c>
      <c r="Q76" s="441" t="s">
        <v>531</v>
      </c>
      <c r="R76" s="1042" t="s">
        <v>532</v>
      </c>
    </row>
    <row r="77" spans="1:18">
      <c r="A77" s="560" t="s">
        <v>10</v>
      </c>
      <c r="B77" s="560">
        <v>1</v>
      </c>
      <c r="C77" s="599">
        <v>32.5</v>
      </c>
      <c r="D77" s="599">
        <v>0</v>
      </c>
      <c r="E77" s="599">
        <v>38</v>
      </c>
      <c r="F77" s="599">
        <v>0</v>
      </c>
      <c r="G77" s="599">
        <f>E77+C77</f>
        <v>70.5</v>
      </c>
      <c r="H77" s="599">
        <f>D77+F77</f>
        <v>0</v>
      </c>
      <c r="I77" s="599">
        <f>(H77/G77*100)</f>
        <v>0</v>
      </c>
      <c r="J77" s="599">
        <v>26.75</v>
      </c>
      <c r="K77" s="599">
        <v>0</v>
      </c>
      <c r="L77" s="599">
        <f>(K77/J77*100)</f>
        <v>0</v>
      </c>
      <c r="M77" s="599">
        <v>170</v>
      </c>
      <c r="N77" s="599">
        <v>0</v>
      </c>
      <c r="O77" s="599">
        <f>(N77/M77*100)</f>
        <v>0</v>
      </c>
      <c r="P77" s="599">
        <f>G77+J77+M77</f>
        <v>267.25</v>
      </c>
      <c r="Q77" s="599">
        <f>H77+K77+N77</f>
        <v>0</v>
      </c>
      <c r="R77" s="599">
        <f>(Q77/P77*100)</f>
        <v>0</v>
      </c>
    </row>
    <row r="78" spans="1:18">
      <c r="A78" s="442" t="s">
        <v>502</v>
      </c>
      <c r="B78" s="442">
        <v>1</v>
      </c>
      <c r="C78" s="443">
        <f>SUM(C77:C77)</f>
        <v>32.5</v>
      </c>
      <c r="D78" s="599">
        <v>0</v>
      </c>
      <c r="E78" s="599">
        <f>SUM(E77:E77)</f>
        <v>38</v>
      </c>
      <c r="F78" s="599">
        <v>0</v>
      </c>
      <c r="G78" s="599">
        <f>E78+C78</f>
        <v>70.5</v>
      </c>
      <c r="H78" s="599">
        <f>D78+F78</f>
        <v>0</v>
      </c>
      <c r="I78" s="600">
        <f>(H78/G78*100)</f>
        <v>0</v>
      </c>
      <c r="J78" s="599">
        <f>SUM(J77:J77)</f>
        <v>26.75</v>
      </c>
      <c r="K78" s="599">
        <v>0</v>
      </c>
      <c r="L78" s="600">
        <f>(K78/J78*100)</f>
        <v>0</v>
      </c>
      <c r="M78" s="599">
        <f>SUM(M77:M77)</f>
        <v>170</v>
      </c>
      <c r="N78" s="599">
        <v>0</v>
      </c>
      <c r="O78" s="600">
        <f>(N78/M78*100)</f>
        <v>0</v>
      </c>
      <c r="P78" s="599">
        <f>SUM(P77:P77)</f>
        <v>267.25</v>
      </c>
      <c r="Q78" s="599">
        <f>H78+K78+N78</f>
        <v>0</v>
      </c>
      <c r="R78" s="600">
        <f>(Q78/P78*100)</f>
        <v>0</v>
      </c>
    </row>
    <row r="79" spans="1:18">
      <c r="A79" s="442" t="s">
        <v>115</v>
      </c>
      <c r="B79" s="442">
        <v>3</v>
      </c>
      <c r="C79" s="443">
        <v>70</v>
      </c>
      <c r="D79" s="599">
        <v>22.8</v>
      </c>
      <c r="E79" s="599">
        <v>23.9</v>
      </c>
      <c r="F79" s="599">
        <v>0</v>
      </c>
      <c r="G79" s="599">
        <f>E79+C79</f>
        <v>93.9</v>
      </c>
      <c r="H79" s="599">
        <f>D79+F79</f>
        <v>22.8</v>
      </c>
      <c r="I79" s="600">
        <f>(H79/G79*100)</f>
        <v>24.281150159744406</v>
      </c>
      <c r="J79" s="599">
        <v>6.4</v>
      </c>
      <c r="K79" s="599">
        <v>0</v>
      </c>
      <c r="L79" s="600">
        <f>(K79/J79*100)</f>
        <v>0</v>
      </c>
      <c r="M79" s="599">
        <v>277.7</v>
      </c>
      <c r="N79" s="599">
        <v>0</v>
      </c>
      <c r="O79" s="600">
        <f>(N79/M79*100)</f>
        <v>0</v>
      </c>
      <c r="P79" s="599">
        <f>G79+J79+M79</f>
        <v>378</v>
      </c>
      <c r="Q79" s="599">
        <f>H79+K79+N79</f>
        <v>22.8</v>
      </c>
      <c r="R79" s="600">
        <f>(Q79/P79*100)</f>
        <v>6.0317460317460316</v>
      </c>
    </row>
    <row r="80" spans="1:18">
      <c r="A80" s="442" t="s">
        <v>505</v>
      </c>
      <c r="B80" s="442">
        <f>SUM(B78:B79)</f>
        <v>4</v>
      </c>
      <c r="C80" s="443">
        <f>SUM(C78:C79)</f>
        <v>102.5</v>
      </c>
      <c r="D80" s="599">
        <f>SUM(D78:D79)</f>
        <v>22.8</v>
      </c>
      <c r="E80" s="599">
        <f>SUM(E78:E79)</f>
        <v>61.9</v>
      </c>
      <c r="F80" s="599">
        <f>SUM(F78:F79)</f>
        <v>0</v>
      </c>
      <c r="G80" s="599">
        <f>E80+C80</f>
        <v>164.4</v>
      </c>
      <c r="H80" s="599">
        <f>F80+D80</f>
        <v>22.8</v>
      </c>
      <c r="I80" s="600">
        <f>(H80/G80*100)</f>
        <v>13.868613138686131</v>
      </c>
      <c r="J80" s="599">
        <f>SUM(J78:J79)</f>
        <v>33.15</v>
      </c>
      <c r="K80" s="599">
        <v>0</v>
      </c>
      <c r="L80" s="600">
        <f>(K80/J80*100)</f>
        <v>0</v>
      </c>
      <c r="M80" s="599">
        <f>SUM(M78:M79)</f>
        <v>447.7</v>
      </c>
      <c r="N80" s="599">
        <v>0</v>
      </c>
      <c r="O80" s="600">
        <f>(N80/M80*100)</f>
        <v>0</v>
      </c>
      <c r="P80" s="599">
        <f>SUM(P78:P79)</f>
        <v>645.25</v>
      </c>
      <c r="Q80" s="599">
        <f>H80+K80+N80</f>
        <v>22.8</v>
      </c>
      <c r="R80" s="600">
        <f>(Q80/P80*100)</f>
        <v>3.5335141418055023</v>
      </c>
    </row>
    <row r="81" spans="1:18">
      <c r="A81" s="574"/>
      <c r="B81" s="574"/>
      <c r="C81" s="580"/>
      <c r="D81" s="567"/>
      <c r="E81" s="567"/>
      <c r="F81" s="567"/>
      <c r="G81" s="567"/>
      <c r="H81" s="567"/>
      <c r="I81" s="609"/>
      <c r="J81" s="567"/>
      <c r="K81" s="567"/>
      <c r="L81" s="609"/>
      <c r="M81" s="567"/>
      <c r="N81" s="567"/>
      <c r="O81" s="609"/>
      <c r="P81" s="567"/>
      <c r="Q81" s="567"/>
      <c r="R81" s="609"/>
    </row>
    <row r="82" spans="1:18" s="741" customFormat="1">
      <c r="A82" s="574"/>
      <c r="B82" s="574"/>
      <c r="C82" s="580"/>
      <c r="D82" s="567"/>
      <c r="E82" s="567"/>
      <c r="F82" s="567"/>
      <c r="G82" s="567"/>
      <c r="H82" s="567"/>
      <c r="I82" s="609"/>
      <c r="J82" s="567"/>
      <c r="K82" s="567"/>
      <c r="L82" s="609"/>
      <c r="M82" s="567"/>
      <c r="N82" s="567"/>
      <c r="O82" s="609"/>
      <c r="P82" s="567"/>
      <c r="Q82" s="567"/>
      <c r="R82" s="609"/>
    </row>
    <row r="83" spans="1:18" s="741" customFormat="1">
      <c r="A83" s="574"/>
      <c r="B83" s="574"/>
      <c r="C83" s="580"/>
      <c r="D83" s="567"/>
      <c r="E83" s="567"/>
      <c r="F83" s="567"/>
      <c r="G83" s="567"/>
      <c r="H83" s="567"/>
      <c r="I83" s="609"/>
      <c r="J83" s="567"/>
      <c r="K83" s="567"/>
      <c r="L83" s="609"/>
      <c r="M83" s="567"/>
      <c r="N83" s="567"/>
      <c r="O83" s="609"/>
      <c r="P83" s="567"/>
      <c r="Q83" s="567"/>
      <c r="R83" s="609"/>
    </row>
    <row r="84" spans="1:18">
      <c r="A84" s="574"/>
      <c r="B84" s="574"/>
      <c r="C84" s="580"/>
      <c r="D84" s="567"/>
      <c r="E84" s="567"/>
      <c r="F84" s="567"/>
      <c r="G84" s="567"/>
      <c r="H84" s="567"/>
      <c r="I84" s="609"/>
      <c r="J84" s="567"/>
      <c r="K84" s="567"/>
      <c r="L84" s="609"/>
      <c r="M84" s="567"/>
      <c r="N84" s="567"/>
      <c r="O84" s="609"/>
      <c r="P84" s="567"/>
      <c r="Q84" s="567"/>
      <c r="R84" s="609"/>
    </row>
    <row r="85" spans="1:18">
      <c r="A85" s="574"/>
      <c r="B85" s="574"/>
      <c r="C85" s="580"/>
      <c r="D85" s="567"/>
      <c r="E85" s="567"/>
      <c r="F85" s="567"/>
      <c r="G85" s="567"/>
      <c r="H85" s="567"/>
      <c r="I85" s="609"/>
      <c r="J85" s="567"/>
      <c r="K85" s="567"/>
      <c r="L85" s="609"/>
      <c r="M85" s="567"/>
      <c r="N85" s="567"/>
      <c r="O85" s="609"/>
      <c r="P85" s="567"/>
      <c r="Q85" s="567"/>
      <c r="R85" s="609"/>
    </row>
    <row r="86" spans="1:18">
      <c r="A86" s="574"/>
      <c r="B86" s="574"/>
      <c r="C86" s="580"/>
      <c r="D86" s="567"/>
      <c r="E86" s="567"/>
      <c r="F86" s="567"/>
      <c r="G86" s="567"/>
      <c r="H86" s="567"/>
      <c r="I86" s="609"/>
      <c r="J86" s="567"/>
      <c r="K86" s="567"/>
      <c r="L86" s="609"/>
      <c r="M86" s="567"/>
      <c r="N86" s="567"/>
      <c r="O86" s="609"/>
      <c r="P86" s="567"/>
      <c r="Q86" s="567"/>
      <c r="R86" s="609"/>
    </row>
    <row r="87" spans="1:18" ht="15.75">
      <c r="A87" s="1628">
        <v>47</v>
      </c>
      <c r="B87" s="1628"/>
      <c r="C87" s="1628"/>
      <c r="D87" s="1628"/>
      <c r="E87" s="1628"/>
      <c r="F87" s="1628"/>
      <c r="G87" s="1628"/>
      <c r="H87" s="1628"/>
      <c r="I87" s="1628"/>
      <c r="J87" s="1628"/>
      <c r="K87" s="1628"/>
      <c r="L87" s="1628"/>
      <c r="M87" s="1628"/>
      <c r="N87" s="1628"/>
      <c r="O87" s="1628"/>
      <c r="P87" s="1628"/>
      <c r="Q87" s="1628"/>
      <c r="R87" s="1628"/>
    </row>
    <row r="88" spans="1:18">
      <c r="A88" s="606" t="s">
        <v>537</v>
      </c>
      <c r="B88" s="1639" t="s">
        <v>543</v>
      </c>
      <c r="C88" s="1639"/>
      <c r="D88" s="1626" t="s">
        <v>541</v>
      </c>
      <c r="E88" s="1626"/>
      <c r="F88" s="1626"/>
      <c r="G88" s="1626"/>
      <c r="H88" s="1626"/>
      <c r="I88" s="1626"/>
      <c r="J88" s="1626"/>
      <c r="K88" s="1626"/>
      <c r="L88" s="1626"/>
      <c r="M88" s="1626"/>
      <c r="N88" s="1626"/>
      <c r="O88" s="1626"/>
      <c r="P88" s="1626"/>
      <c r="Q88" s="1627" t="s">
        <v>315</v>
      </c>
      <c r="R88" s="1627"/>
    </row>
    <row r="89" spans="1:18">
      <c r="A89" s="1621" t="s">
        <v>500</v>
      </c>
      <c r="B89" s="1041" t="s">
        <v>257</v>
      </c>
      <c r="C89" s="1622" t="s">
        <v>484</v>
      </c>
      <c r="D89" s="1622"/>
      <c r="E89" s="1622" t="s">
        <v>485</v>
      </c>
      <c r="F89" s="1622"/>
      <c r="G89" s="1625" t="s">
        <v>486</v>
      </c>
      <c r="H89" s="1625"/>
      <c r="I89" s="1625"/>
      <c r="J89" s="1625" t="s">
        <v>487</v>
      </c>
      <c r="K89" s="1625"/>
      <c r="L89" s="1625"/>
      <c r="M89" s="1625" t="s">
        <v>488</v>
      </c>
      <c r="N89" s="1625"/>
      <c r="O89" s="1625"/>
      <c r="P89" s="1625" t="s">
        <v>489</v>
      </c>
      <c r="Q89" s="1625"/>
      <c r="R89" s="1625"/>
    </row>
    <row r="90" spans="1:18">
      <c r="A90" s="1621"/>
      <c r="B90" s="614" t="s">
        <v>544</v>
      </c>
      <c r="C90" s="597" t="s">
        <v>530</v>
      </c>
      <c r="D90" s="441" t="s">
        <v>531</v>
      </c>
      <c r="E90" s="441" t="s">
        <v>490</v>
      </c>
      <c r="F90" s="441" t="s">
        <v>531</v>
      </c>
      <c r="G90" s="441" t="s">
        <v>490</v>
      </c>
      <c r="H90" s="441" t="s">
        <v>531</v>
      </c>
      <c r="I90" s="1042" t="s">
        <v>532</v>
      </c>
      <c r="J90" s="441" t="s">
        <v>490</v>
      </c>
      <c r="K90" s="441" t="s">
        <v>531</v>
      </c>
      <c r="L90" s="1042" t="s">
        <v>532</v>
      </c>
      <c r="M90" s="441" t="s">
        <v>490</v>
      </c>
      <c r="N90" s="441" t="s">
        <v>531</v>
      </c>
      <c r="O90" s="1042" t="s">
        <v>532</v>
      </c>
      <c r="P90" s="441" t="s">
        <v>490</v>
      </c>
      <c r="Q90" s="441" t="s">
        <v>531</v>
      </c>
      <c r="R90" s="1042" t="s">
        <v>532</v>
      </c>
    </row>
    <row r="91" spans="1:18">
      <c r="A91" s="560" t="s">
        <v>10</v>
      </c>
      <c r="B91" s="560">
        <v>2</v>
      </c>
      <c r="C91" s="599">
        <v>64.599999999999994</v>
      </c>
      <c r="D91" s="599">
        <v>0</v>
      </c>
      <c r="E91" s="599">
        <v>75.900000000000006</v>
      </c>
      <c r="F91" s="599">
        <v>0</v>
      </c>
      <c r="G91" s="599">
        <f>E91+C91</f>
        <v>140.5</v>
      </c>
      <c r="H91" s="599">
        <f>D91+F91</f>
        <v>0</v>
      </c>
      <c r="I91" s="599">
        <f>(H91/G91*100)</f>
        <v>0</v>
      </c>
      <c r="J91" s="599">
        <v>53.5</v>
      </c>
      <c r="K91" s="599">
        <v>0</v>
      </c>
      <c r="L91" s="599">
        <f>(K91/J91*100)</f>
        <v>0</v>
      </c>
      <c r="M91" s="599">
        <v>340</v>
      </c>
      <c r="N91" s="599">
        <v>50.43</v>
      </c>
      <c r="O91" s="599">
        <f>(N91/M91*100)</f>
        <v>14.832352941176472</v>
      </c>
      <c r="P91" s="599">
        <f>M91+J91+G91</f>
        <v>534</v>
      </c>
      <c r="Q91" s="599">
        <f>H91+K91+N91</f>
        <v>50.43</v>
      </c>
      <c r="R91" s="599">
        <f>(Q91/P91*100)</f>
        <v>9.4438202247191008</v>
      </c>
    </row>
    <row r="92" spans="1:18">
      <c r="A92" s="442" t="s">
        <v>502</v>
      </c>
      <c r="B92" s="442">
        <v>2</v>
      </c>
      <c r="C92" s="443">
        <f>SUM(C91)</f>
        <v>64.599999999999994</v>
      </c>
      <c r="D92" s="599">
        <v>0</v>
      </c>
      <c r="E92" s="599">
        <f>SUM(E91)</f>
        <v>75.900000000000006</v>
      </c>
      <c r="F92" s="599">
        <v>0</v>
      </c>
      <c r="G92" s="599">
        <f>E92+C92</f>
        <v>140.5</v>
      </c>
      <c r="H92" s="599">
        <f>D92+F92</f>
        <v>0</v>
      </c>
      <c r="I92" s="600">
        <f>(H92/G92*100)</f>
        <v>0</v>
      </c>
      <c r="J92" s="599">
        <f>SUM(J91)</f>
        <v>53.5</v>
      </c>
      <c r="K92" s="599">
        <v>0</v>
      </c>
      <c r="L92" s="600">
        <f>(K92/J92*100)</f>
        <v>0</v>
      </c>
      <c r="M92" s="599">
        <f>SUM(M91)</f>
        <v>340</v>
      </c>
      <c r="N92" s="599">
        <f>SUM(N91)</f>
        <v>50.43</v>
      </c>
      <c r="O92" s="600">
        <f>(N92/M92*100)</f>
        <v>14.832352941176472</v>
      </c>
      <c r="P92" s="599">
        <f>SUM(P91)</f>
        <v>534</v>
      </c>
      <c r="Q92" s="599">
        <f>H92+K92+N92</f>
        <v>50.43</v>
      </c>
      <c r="R92" s="600">
        <f>(Q92/P92*100)</f>
        <v>9.4438202247191008</v>
      </c>
    </row>
    <row r="93" spans="1:18">
      <c r="A93" s="442" t="s">
        <v>115</v>
      </c>
      <c r="B93" s="442">
        <v>2</v>
      </c>
      <c r="C93" s="443">
        <v>46</v>
      </c>
      <c r="D93" s="599">
        <v>13.4</v>
      </c>
      <c r="E93" s="599">
        <v>16.600000000000001</v>
      </c>
      <c r="F93" s="599">
        <v>0</v>
      </c>
      <c r="G93" s="599">
        <f>E93+C93</f>
        <v>62.6</v>
      </c>
      <c r="H93" s="599">
        <f>D93+F93</f>
        <v>13.4</v>
      </c>
      <c r="I93" s="600">
        <f>(H93/G93*100)</f>
        <v>21.405750798722046</v>
      </c>
      <c r="J93" s="599">
        <v>4.25</v>
      </c>
      <c r="K93" s="599">
        <v>0</v>
      </c>
      <c r="L93" s="600">
        <f>(K93/J93*100)</f>
        <v>0</v>
      </c>
      <c r="M93" s="599">
        <v>185.1</v>
      </c>
      <c r="N93" s="599">
        <v>176.88</v>
      </c>
      <c r="O93" s="600">
        <f>(N93/M93*100)</f>
        <v>95.559157212317672</v>
      </c>
      <c r="P93" s="599">
        <f>M93+J93+G93</f>
        <v>251.95</v>
      </c>
      <c r="Q93" s="599">
        <f>H93+K93+N93</f>
        <v>190.28</v>
      </c>
      <c r="R93" s="600">
        <f>(Q93/P93*100)</f>
        <v>75.52292121452669</v>
      </c>
    </row>
    <row r="94" spans="1:18">
      <c r="A94" s="442" t="s">
        <v>507</v>
      </c>
      <c r="B94" s="442">
        <v>3</v>
      </c>
      <c r="C94" s="443">
        <v>11.15</v>
      </c>
      <c r="D94" s="599">
        <v>0</v>
      </c>
      <c r="E94" s="599">
        <v>253.45</v>
      </c>
      <c r="F94" s="599">
        <v>2.0299999999999998</v>
      </c>
      <c r="G94" s="599">
        <f>E94+C94</f>
        <v>264.59999999999997</v>
      </c>
      <c r="H94" s="599">
        <f>D94+F94</f>
        <v>2.0299999999999998</v>
      </c>
      <c r="I94" s="600">
        <f>(H94/G94*100)</f>
        <v>0.76719576719576721</v>
      </c>
      <c r="J94" s="599">
        <v>16.2</v>
      </c>
      <c r="K94" s="599">
        <v>0</v>
      </c>
      <c r="L94" s="600">
        <f>(K94/J94*100)</f>
        <v>0</v>
      </c>
      <c r="M94" s="599">
        <v>155.65</v>
      </c>
      <c r="N94" s="599">
        <v>0</v>
      </c>
      <c r="O94" s="600">
        <f>(N94/M94*100)</f>
        <v>0</v>
      </c>
      <c r="P94" s="599">
        <f>M94+J94+G94</f>
        <v>436.44999999999993</v>
      </c>
      <c r="Q94" s="599">
        <f>H94+K94+N94</f>
        <v>2.0299999999999998</v>
      </c>
      <c r="R94" s="600">
        <f>(Q94/P94*100)</f>
        <v>0.46511627906976744</v>
      </c>
    </row>
    <row r="95" spans="1:18">
      <c r="A95" s="442" t="s">
        <v>505</v>
      </c>
      <c r="B95" s="442">
        <f>SUM(B92:B94)</f>
        <v>7</v>
      </c>
      <c r="C95" s="443">
        <f>SUM(C92:C94)</f>
        <v>121.75</v>
      </c>
      <c r="D95" s="599">
        <f>SUM(D92:D94)</f>
        <v>13.4</v>
      </c>
      <c r="E95" s="599">
        <f>SUM(E92:E94)</f>
        <v>345.95</v>
      </c>
      <c r="F95" s="599">
        <f>SUM(F92:F94)</f>
        <v>2.0299999999999998</v>
      </c>
      <c r="G95" s="599">
        <f>E95+C95</f>
        <v>467.7</v>
      </c>
      <c r="H95" s="599">
        <f>F95+D95</f>
        <v>15.43</v>
      </c>
      <c r="I95" s="600">
        <f>(H95/G95*100)</f>
        <v>3.2991233696814199</v>
      </c>
      <c r="J95" s="599">
        <f>SUM(J92:J94)</f>
        <v>73.95</v>
      </c>
      <c r="K95" s="599">
        <v>0</v>
      </c>
      <c r="L95" s="600">
        <f>(K95/J95*100)</f>
        <v>0</v>
      </c>
      <c r="M95" s="599">
        <f>SUM(M92:M94)</f>
        <v>680.75</v>
      </c>
      <c r="N95" s="599">
        <f>SUM(N92:N94)</f>
        <v>227.31</v>
      </c>
      <c r="O95" s="600">
        <f>(N95/M95*100)</f>
        <v>33.391112743297832</v>
      </c>
      <c r="P95" s="599">
        <f>SUM(P92:P94)</f>
        <v>1222.4000000000001</v>
      </c>
      <c r="Q95" s="599">
        <f>H95+K95+N95</f>
        <v>242.74</v>
      </c>
      <c r="R95" s="600">
        <f>(Q95/P95*100)</f>
        <v>19.857657068062824</v>
      </c>
    </row>
    <row r="96" spans="1:18">
      <c r="A96" s="568"/>
      <c r="B96" s="568"/>
      <c r="C96" s="611"/>
      <c r="D96" s="569"/>
      <c r="E96" s="569"/>
      <c r="F96" s="569"/>
      <c r="G96" s="570"/>
      <c r="H96" s="570"/>
      <c r="I96" s="612"/>
      <c r="J96" s="570"/>
      <c r="K96" s="570"/>
      <c r="L96" s="612"/>
      <c r="M96" s="570"/>
      <c r="N96" s="570"/>
      <c r="O96" s="612"/>
      <c r="P96" s="570"/>
      <c r="Q96" s="570"/>
      <c r="R96" s="612"/>
    </row>
    <row r="97" spans="1:18">
      <c r="A97" s="606" t="s">
        <v>537</v>
      </c>
      <c r="B97" s="1639" t="s">
        <v>545</v>
      </c>
      <c r="C97" s="1639"/>
      <c r="D97" s="1626" t="s">
        <v>546</v>
      </c>
      <c r="E97" s="1626"/>
      <c r="F97" s="1626"/>
      <c r="G97" s="1626"/>
      <c r="H97" s="1626"/>
      <c r="I97" s="1626"/>
      <c r="J97" s="1626"/>
      <c r="K97" s="1626"/>
      <c r="L97" s="1626"/>
      <c r="M97" s="1626"/>
      <c r="N97" s="1626"/>
      <c r="O97" s="1626"/>
      <c r="P97" s="1626"/>
      <c r="Q97" s="1626"/>
      <c r="R97" s="1626"/>
    </row>
    <row r="98" spans="1:18">
      <c r="A98" s="1621" t="s">
        <v>500</v>
      </c>
      <c r="B98" s="1622" t="s">
        <v>501</v>
      </c>
      <c r="C98" s="1622" t="s">
        <v>484</v>
      </c>
      <c r="D98" s="1622"/>
      <c r="E98" s="1622" t="s">
        <v>485</v>
      </c>
      <c r="F98" s="1622"/>
      <c r="G98" s="1625" t="s">
        <v>486</v>
      </c>
      <c r="H98" s="1625"/>
      <c r="I98" s="1625"/>
      <c r="J98" s="1625" t="s">
        <v>487</v>
      </c>
      <c r="K98" s="1625"/>
      <c r="L98" s="1625"/>
      <c r="M98" s="1625" t="s">
        <v>488</v>
      </c>
      <c r="N98" s="1625"/>
      <c r="O98" s="1625"/>
      <c r="P98" s="1625" t="s">
        <v>489</v>
      </c>
      <c r="Q98" s="1625"/>
      <c r="R98" s="1625"/>
    </row>
    <row r="99" spans="1:18">
      <c r="A99" s="1621"/>
      <c r="B99" s="1622"/>
      <c r="C99" s="597" t="s">
        <v>530</v>
      </c>
      <c r="D99" s="441" t="s">
        <v>531</v>
      </c>
      <c r="E99" s="441" t="s">
        <v>490</v>
      </c>
      <c r="F99" s="441" t="s">
        <v>531</v>
      </c>
      <c r="G99" s="441" t="s">
        <v>490</v>
      </c>
      <c r="H99" s="441" t="s">
        <v>531</v>
      </c>
      <c r="I99" s="1042" t="s">
        <v>532</v>
      </c>
      <c r="J99" s="441" t="s">
        <v>490</v>
      </c>
      <c r="K99" s="441" t="s">
        <v>531</v>
      </c>
      <c r="L99" s="1042" t="s">
        <v>532</v>
      </c>
      <c r="M99" s="441" t="s">
        <v>490</v>
      </c>
      <c r="N99" s="441" t="s">
        <v>531</v>
      </c>
      <c r="O99" s="1042" t="s">
        <v>532</v>
      </c>
      <c r="P99" s="441" t="s">
        <v>490</v>
      </c>
      <c r="Q99" s="441" t="s">
        <v>531</v>
      </c>
      <c r="R99" s="1042" t="s">
        <v>532</v>
      </c>
    </row>
    <row r="100" spans="1:18">
      <c r="A100" s="560" t="s">
        <v>10</v>
      </c>
      <c r="B100" s="560">
        <v>1</v>
      </c>
      <c r="C100" s="599">
        <v>32.5</v>
      </c>
      <c r="D100" s="599">
        <v>25.81</v>
      </c>
      <c r="E100" s="599">
        <v>38</v>
      </c>
      <c r="F100" s="599">
        <v>5.55</v>
      </c>
      <c r="G100" s="599">
        <f>E100+C100</f>
        <v>70.5</v>
      </c>
      <c r="H100" s="599">
        <f>D100+F100</f>
        <v>31.36</v>
      </c>
      <c r="I100" s="599">
        <f>(H100/G100*100)</f>
        <v>44.482269503546092</v>
      </c>
      <c r="J100" s="599">
        <v>26.75</v>
      </c>
      <c r="K100" s="599">
        <v>0</v>
      </c>
      <c r="L100" s="599">
        <f>(K100/J100*100)</f>
        <v>0</v>
      </c>
      <c r="M100" s="599">
        <v>170</v>
      </c>
      <c r="N100" s="599">
        <v>0.5</v>
      </c>
      <c r="O100" s="599">
        <f>(N100/M100*100)</f>
        <v>0.29411764705882354</v>
      </c>
      <c r="P100" s="599">
        <f>G100+J100+M100</f>
        <v>267.25</v>
      </c>
      <c r="Q100" s="599">
        <f>H100+K100+N100</f>
        <v>31.86</v>
      </c>
      <c r="R100" s="599">
        <f>(Q100/P100*100)</f>
        <v>11.921421889616465</v>
      </c>
    </row>
    <row r="101" spans="1:18">
      <c r="A101" s="442" t="s">
        <v>502</v>
      </c>
      <c r="B101" s="442">
        <v>1</v>
      </c>
      <c r="C101" s="443">
        <f>SUM(C100)</f>
        <v>32.5</v>
      </c>
      <c r="D101" s="599">
        <v>0</v>
      </c>
      <c r="E101" s="599">
        <f>SUM(E100)</f>
        <v>38</v>
      </c>
      <c r="F101" s="599">
        <f>SUM(F100)</f>
        <v>5.55</v>
      </c>
      <c r="G101" s="599">
        <f>E101+C101</f>
        <v>70.5</v>
      </c>
      <c r="H101" s="599">
        <f>D101+F101</f>
        <v>5.55</v>
      </c>
      <c r="I101" s="600">
        <f>(H101/G101*100)</f>
        <v>7.8723404255319149</v>
      </c>
      <c r="J101" s="599">
        <f>SUM(J100)</f>
        <v>26.75</v>
      </c>
      <c r="K101" s="599">
        <v>0</v>
      </c>
      <c r="L101" s="600">
        <f>(K101/J101*100)</f>
        <v>0</v>
      </c>
      <c r="M101" s="599">
        <f>SUM(M100)</f>
        <v>170</v>
      </c>
      <c r="N101" s="599">
        <f>SUM(N100)</f>
        <v>0.5</v>
      </c>
      <c r="O101" s="600">
        <f>(N101/M101*100)</f>
        <v>0.29411764705882354</v>
      </c>
      <c r="P101" s="599">
        <f>SUM(P100)</f>
        <v>267.25</v>
      </c>
      <c r="Q101" s="599">
        <f>SUM(Q100)</f>
        <v>31.86</v>
      </c>
      <c r="R101" s="600">
        <f>(Q101/P101*100)</f>
        <v>11.921421889616465</v>
      </c>
    </row>
    <row r="102" spans="1:18">
      <c r="A102" s="442" t="s">
        <v>507</v>
      </c>
      <c r="B102" s="442">
        <v>1</v>
      </c>
      <c r="C102" s="443">
        <v>3.7</v>
      </c>
      <c r="D102" s="599">
        <v>0</v>
      </c>
      <c r="E102" s="599">
        <v>84.5</v>
      </c>
      <c r="F102" s="599">
        <v>10.89</v>
      </c>
      <c r="G102" s="599">
        <f>E102+C102</f>
        <v>88.2</v>
      </c>
      <c r="H102" s="599">
        <f>D102+F102</f>
        <v>10.89</v>
      </c>
      <c r="I102" s="600">
        <f>(H102/G102*100)</f>
        <v>12.346938775510205</v>
      </c>
      <c r="J102" s="599">
        <v>5.5</v>
      </c>
      <c r="K102" s="599">
        <v>0</v>
      </c>
      <c r="L102" s="600">
        <f>(K102/J102*100)</f>
        <v>0</v>
      </c>
      <c r="M102" s="599">
        <v>52</v>
      </c>
      <c r="N102" s="599">
        <v>0</v>
      </c>
      <c r="O102" s="600">
        <f>(N102/M102*100)</f>
        <v>0</v>
      </c>
      <c r="P102" s="599">
        <f>G102+J102+M102</f>
        <v>145.69999999999999</v>
      </c>
      <c r="Q102" s="599">
        <f>H102+K102+N102</f>
        <v>10.89</v>
      </c>
      <c r="R102" s="600">
        <f>(Q102/P102*100)</f>
        <v>7.4742621825669193</v>
      </c>
    </row>
    <row r="103" spans="1:18">
      <c r="A103" s="442" t="s">
        <v>505</v>
      </c>
      <c r="B103" s="442">
        <v>2</v>
      </c>
      <c r="C103" s="443">
        <f>SUM(C101:C102)</f>
        <v>36.200000000000003</v>
      </c>
      <c r="D103" s="599">
        <f>SUM(D100:D101)</f>
        <v>25.81</v>
      </c>
      <c r="E103" s="599">
        <f>SUM(E101:E102)</f>
        <v>122.5</v>
      </c>
      <c r="F103" s="599">
        <f>SUM(F101:F102)</f>
        <v>16.440000000000001</v>
      </c>
      <c r="G103" s="599">
        <f>E103+C103</f>
        <v>158.69999999999999</v>
      </c>
      <c r="H103" s="599">
        <f>F103+D103</f>
        <v>42.25</v>
      </c>
      <c r="I103" s="600">
        <f>(H103/G103*100)</f>
        <v>26.622558286074355</v>
      </c>
      <c r="J103" s="599">
        <f>SUM(J101:J102)</f>
        <v>32.25</v>
      </c>
      <c r="K103" s="599">
        <v>0</v>
      </c>
      <c r="L103" s="600">
        <f>(K103/J103*100)</f>
        <v>0</v>
      </c>
      <c r="M103" s="599">
        <f>SUM(M101:M102)</f>
        <v>222</v>
      </c>
      <c r="N103" s="599">
        <f>SUM(N101:N102)</f>
        <v>0.5</v>
      </c>
      <c r="O103" s="600">
        <f>(N103/M103*100)</f>
        <v>0.22522522522522523</v>
      </c>
      <c r="P103" s="599">
        <f>SUM(P101:P102)</f>
        <v>412.95</v>
      </c>
      <c r="Q103" s="599">
        <f>H103+K103+N103</f>
        <v>42.75</v>
      </c>
      <c r="R103" s="600">
        <f>(Q103/P103*100)</f>
        <v>10.352342898656012</v>
      </c>
    </row>
    <row r="104" spans="1:18">
      <c r="A104" s="568"/>
      <c r="B104" s="568"/>
      <c r="C104" s="611"/>
      <c r="D104" s="569"/>
      <c r="E104" s="569"/>
      <c r="F104" s="569"/>
      <c r="G104" s="564"/>
      <c r="H104" s="564"/>
      <c r="I104" s="563"/>
      <c r="J104" s="564"/>
      <c r="K104" s="564"/>
      <c r="L104" s="563"/>
      <c r="M104" s="564"/>
      <c r="N104" s="579"/>
      <c r="O104" s="563"/>
      <c r="P104" s="564"/>
      <c r="Q104" s="564"/>
      <c r="R104" s="563"/>
    </row>
    <row r="105" spans="1:18">
      <c r="A105" s="606" t="s">
        <v>537</v>
      </c>
      <c r="B105" s="1640" t="s">
        <v>547</v>
      </c>
      <c r="C105" s="1640"/>
      <c r="D105" s="1640"/>
      <c r="E105" s="1626" t="s">
        <v>546</v>
      </c>
      <c r="F105" s="1626"/>
      <c r="G105" s="1626"/>
      <c r="H105" s="1626"/>
      <c r="I105" s="1626"/>
      <c r="J105" s="1626"/>
      <c r="K105" s="1626"/>
      <c r="L105" s="1626"/>
      <c r="M105" s="1626"/>
      <c r="N105" s="1626"/>
      <c r="O105" s="1626"/>
      <c r="P105" s="1626"/>
      <c r="Q105" s="1626"/>
      <c r="R105" s="1626"/>
    </row>
    <row r="106" spans="1:18">
      <c r="A106" s="1621" t="s">
        <v>343</v>
      </c>
      <c r="B106" s="1622" t="s">
        <v>501</v>
      </c>
      <c r="C106" s="1622" t="s">
        <v>484</v>
      </c>
      <c r="D106" s="1622"/>
      <c r="E106" s="1622" t="s">
        <v>485</v>
      </c>
      <c r="F106" s="1622"/>
      <c r="G106" s="1625" t="s">
        <v>486</v>
      </c>
      <c r="H106" s="1625"/>
      <c r="I106" s="1625"/>
      <c r="J106" s="1625" t="s">
        <v>487</v>
      </c>
      <c r="K106" s="1625"/>
      <c r="L106" s="1625"/>
      <c r="M106" s="1625" t="s">
        <v>488</v>
      </c>
      <c r="N106" s="1625"/>
      <c r="O106" s="1625"/>
      <c r="P106" s="1625" t="s">
        <v>489</v>
      </c>
      <c r="Q106" s="1625"/>
      <c r="R106" s="1625"/>
    </row>
    <row r="107" spans="1:18">
      <c r="A107" s="1621"/>
      <c r="B107" s="1622"/>
      <c r="C107" s="597" t="s">
        <v>530</v>
      </c>
      <c r="D107" s="441" t="s">
        <v>531</v>
      </c>
      <c r="E107" s="441" t="s">
        <v>490</v>
      </c>
      <c r="F107" s="441" t="s">
        <v>531</v>
      </c>
      <c r="G107" s="441" t="s">
        <v>490</v>
      </c>
      <c r="H107" s="441" t="s">
        <v>531</v>
      </c>
      <c r="I107" s="1042" t="s">
        <v>532</v>
      </c>
      <c r="J107" s="441" t="s">
        <v>490</v>
      </c>
      <c r="K107" s="441" t="s">
        <v>531</v>
      </c>
      <c r="L107" s="1042" t="s">
        <v>532</v>
      </c>
      <c r="M107" s="441" t="s">
        <v>490</v>
      </c>
      <c r="N107" s="441" t="s">
        <v>531</v>
      </c>
      <c r="O107" s="1042" t="s">
        <v>532</v>
      </c>
      <c r="P107" s="441" t="s">
        <v>490</v>
      </c>
      <c r="Q107" s="441" t="s">
        <v>531</v>
      </c>
      <c r="R107" s="1042" t="s">
        <v>532</v>
      </c>
    </row>
    <row r="108" spans="1:18">
      <c r="A108" s="560" t="s">
        <v>10</v>
      </c>
      <c r="B108" s="560">
        <v>1</v>
      </c>
      <c r="C108" s="599">
        <v>32.5</v>
      </c>
      <c r="D108" s="599">
        <v>19.11</v>
      </c>
      <c r="E108" s="599">
        <v>38</v>
      </c>
      <c r="F108" s="599">
        <v>0</v>
      </c>
      <c r="G108" s="599">
        <f t="shared" ref="G108:G113" si="28">E108+C108</f>
        <v>70.5</v>
      </c>
      <c r="H108" s="599">
        <f t="shared" ref="H108:H113" si="29">D108+F108</f>
        <v>19.11</v>
      </c>
      <c r="I108" s="599">
        <f t="shared" ref="I108:I114" si="30">(H108/G108*100)</f>
        <v>27.106382978723403</v>
      </c>
      <c r="J108" s="599">
        <v>26.7</v>
      </c>
      <c r="K108" s="599">
        <v>0</v>
      </c>
      <c r="L108" s="599">
        <f>(K108/J108*100)</f>
        <v>0</v>
      </c>
      <c r="M108" s="599">
        <v>270</v>
      </c>
      <c r="N108" s="599">
        <v>0</v>
      </c>
      <c r="O108" s="599">
        <f>(N108/M108*100)</f>
        <v>0</v>
      </c>
      <c r="P108" s="599">
        <f t="shared" ref="P108:Q113" si="31">G108+J108+M108</f>
        <v>367.2</v>
      </c>
      <c r="Q108" s="599">
        <f t="shared" si="31"/>
        <v>19.11</v>
      </c>
      <c r="R108" s="599">
        <f>(Q108/P108*100)</f>
        <v>5.2042483660130721</v>
      </c>
    </row>
    <row r="109" spans="1:18">
      <c r="A109" s="442" t="s">
        <v>26</v>
      </c>
      <c r="B109" s="442">
        <v>1</v>
      </c>
      <c r="C109" s="599">
        <v>15</v>
      </c>
      <c r="D109" s="599">
        <v>50</v>
      </c>
      <c r="E109" s="599">
        <v>0</v>
      </c>
      <c r="F109" s="599">
        <v>0</v>
      </c>
      <c r="G109" s="599">
        <f t="shared" si="28"/>
        <v>15</v>
      </c>
      <c r="H109" s="599">
        <f t="shared" si="29"/>
        <v>50</v>
      </c>
      <c r="I109" s="599">
        <f t="shared" si="30"/>
        <v>333.33333333333337</v>
      </c>
      <c r="J109" s="599">
        <v>46.85</v>
      </c>
      <c r="K109" s="599">
        <v>0</v>
      </c>
      <c r="L109" s="599">
        <f t="shared" ref="L109:L114" si="32">(K109/J109*100)</f>
        <v>0</v>
      </c>
      <c r="M109" s="599">
        <v>6.5</v>
      </c>
      <c r="N109" s="599">
        <v>6.07</v>
      </c>
      <c r="O109" s="599">
        <f t="shared" ref="O109:O114" si="33">(N109/M109*100)</f>
        <v>93.384615384615387</v>
      </c>
      <c r="P109" s="599">
        <f t="shared" si="31"/>
        <v>68.349999999999994</v>
      </c>
      <c r="Q109" s="599">
        <f t="shared" si="31"/>
        <v>56.07</v>
      </c>
      <c r="R109" s="599">
        <f t="shared" ref="R109:R114" si="34">(Q109/P109*100)</f>
        <v>82.033650329188006</v>
      </c>
    </row>
    <row r="110" spans="1:18">
      <c r="A110" s="442" t="s">
        <v>32</v>
      </c>
      <c r="B110" s="442">
        <v>1</v>
      </c>
      <c r="C110" s="443">
        <v>46.55</v>
      </c>
      <c r="D110" s="599">
        <v>0</v>
      </c>
      <c r="E110" s="599">
        <v>11</v>
      </c>
      <c r="F110" s="599">
        <v>0</v>
      </c>
      <c r="G110" s="599">
        <f>E110+C110</f>
        <v>57.55</v>
      </c>
      <c r="H110" s="599">
        <f t="shared" si="29"/>
        <v>0</v>
      </c>
      <c r="I110" s="600">
        <f t="shared" si="30"/>
        <v>0</v>
      </c>
      <c r="J110" s="599">
        <v>10</v>
      </c>
      <c r="K110" s="599">
        <v>0</v>
      </c>
      <c r="L110" s="600">
        <f t="shared" si="32"/>
        <v>0</v>
      </c>
      <c r="M110" s="599">
        <v>366.15</v>
      </c>
      <c r="N110" s="599">
        <v>0</v>
      </c>
      <c r="O110" s="600">
        <f t="shared" si="33"/>
        <v>0</v>
      </c>
      <c r="P110" s="599">
        <f>G110+J110+M110</f>
        <v>433.7</v>
      </c>
      <c r="Q110" s="599">
        <f t="shared" si="31"/>
        <v>0</v>
      </c>
      <c r="R110" s="600">
        <f t="shared" si="34"/>
        <v>0</v>
      </c>
    </row>
    <row r="111" spans="1:18">
      <c r="A111" s="442" t="s">
        <v>502</v>
      </c>
      <c r="B111" s="442">
        <v>3</v>
      </c>
      <c r="C111" s="444">
        <f>SUM(C108:C110)</f>
        <v>94.05</v>
      </c>
      <c r="D111" s="599">
        <f>SUM(D108:D110)</f>
        <v>69.11</v>
      </c>
      <c r="E111" s="599">
        <v>49</v>
      </c>
      <c r="F111" s="599">
        <f>SUM(F108:F110)</f>
        <v>0</v>
      </c>
      <c r="G111" s="599">
        <f>E111+C111</f>
        <v>143.05000000000001</v>
      </c>
      <c r="H111" s="599">
        <f>F111+D111</f>
        <v>69.11</v>
      </c>
      <c r="I111" s="600">
        <f t="shared" si="30"/>
        <v>48.3117790982174</v>
      </c>
      <c r="J111" s="599">
        <f>SUM(J108:J110)</f>
        <v>83.55</v>
      </c>
      <c r="K111" s="599">
        <f>SUM(K108:K110)</f>
        <v>0</v>
      </c>
      <c r="L111" s="600">
        <f t="shared" si="32"/>
        <v>0</v>
      </c>
      <c r="M111" s="599">
        <f>SUM(M108:M110)</f>
        <v>642.65</v>
      </c>
      <c r="N111" s="599">
        <f>SUM(N108:N110)</f>
        <v>6.07</v>
      </c>
      <c r="O111" s="600">
        <f t="shared" si="33"/>
        <v>0.94452656967245008</v>
      </c>
      <c r="P111" s="599">
        <f>SUM(P108:P110)</f>
        <v>869.25</v>
      </c>
      <c r="Q111" s="599">
        <f t="shared" si="31"/>
        <v>75.180000000000007</v>
      </c>
      <c r="R111" s="600">
        <f t="shared" si="34"/>
        <v>8.6488352027610009</v>
      </c>
    </row>
    <row r="112" spans="1:18">
      <c r="A112" s="442" t="s">
        <v>115</v>
      </c>
      <c r="B112" s="442">
        <v>1</v>
      </c>
      <c r="C112" s="443">
        <v>22</v>
      </c>
      <c r="D112" s="599">
        <v>10</v>
      </c>
      <c r="E112" s="599">
        <v>9.3000000000000007</v>
      </c>
      <c r="F112" s="599">
        <v>0</v>
      </c>
      <c r="G112" s="599">
        <f t="shared" si="28"/>
        <v>31.3</v>
      </c>
      <c r="H112" s="599">
        <f t="shared" si="29"/>
        <v>10</v>
      </c>
      <c r="I112" s="600">
        <f t="shared" si="30"/>
        <v>31.948881789137378</v>
      </c>
      <c r="J112" s="599">
        <v>2.15</v>
      </c>
      <c r="K112" s="599">
        <v>0</v>
      </c>
      <c r="L112" s="600">
        <f t="shared" si="32"/>
        <v>0</v>
      </c>
      <c r="M112" s="599">
        <v>92.55</v>
      </c>
      <c r="N112" s="599">
        <v>0</v>
      </c>
      <c r="O112" s="600">
        <f t="shared" si="33"/>
        <v>0</v>
      </c>
      <c r="P112" s="599">
        <f t="shared" si="31"/>
        <v>126</v>
      </c>
      <c r="Q112" s="599">
        <f t="shared" si="31"/>
        <v>10</v>
      </c>
      <c r="R112" s="600">
        <f t="shared" si="34"/>
        <v>7.9365079365079358</v>
      </c>
    </row>
    <row r="113" spans="1:18">
      <c r="A113" s="442" t="s">
        <v>507</v>
      </c>
      <c r="B113" s="442">
        <v>2</v>
      </c>
      <c r="C113" s="443">
        <v>7.45</v>
      </c>
      <c r="D113" s="599">
        <v>0</v>
      </c>
      <c r="E113" s="599">
        <v>169</v>
      </c>
      <c r="F113" s="599">
        <v>16.77</v>
      </c>
      <c r="G113" s="599">
        <f t="shared" si="28"/>
        <v>176.45</v>
      </c>
      <c r="H113" s="599">
        <f t="shared" si="29"/>
        <v>16.77</v>
      </c>
      <c r="I113" s="600">
        <f t="shared" si="30"/>
        <v>9.504108812694815</v>
      </c>
      <c r="J113" s="599">
        <v>10.8</v>
      </c>
      <c r="K113" s="599">
        <v>0</v>
      </c>
      <c r="L113" s="600">
        <f t="shared" si="32"/>
        <v>0</v>
      </c>
      <c r="M113" s="599">
        <v>103.8</v>
      </c>
      <c r="N113" s="599">
        <v>0</v>
      </c>
      <c r="O113" s="600">
        <f t="shared" si="33"/>
        <v>0</v>
      </c>
      <c r="P113" s="599">
        <f t="shared" si="31"/>
        <v>291.05</v>
      </c>
      <c r="Q113" s="599">
        <f t="shared" si="31"/>
        <v>16.77</v>
      </c>
      <c r="R113" s="600">
        <f t="shared" si="34"/>
        <v>5.7618965813434109</v>
      </c>
    </row>
    <row r="114" spans="1:18">
      <c r="A114" s="442" t="s">
        <v>505</v>
      </c>
      <c r="B114" s="442">
        <v>6</v>
      </c>
      <c r="C114" s="443">
        <f>SUM(C111:C113)</f>
        <v>123.5</v>
      </c>
      <c r="D114" s="599">
        <f>SUM(D111:D113)</f>
        <v>79.11</v>
      </c>
      <c r="E114" s="599">
        <f>SUM(E111:E113)</f>
        <v>227.3</v>
      </c>
      <c r="F114" s="599">
        <f>SUM(F111:F113)</f>
        <v>16.77</v>
      </c>
      <c r="G114" s="599">
        <f>E114+C114</f>
        <v>350.8</v>
      </c>
      <c r="H114" s="599">
        <f>F114+D114</f>
        <v>95.88</v>
      </c>
      <c r="I114" s="600">
        <f t="shared" si="30"/>
        <v>27.331812998859746</v>
      </c>
      <c r="J114" s="599">
        <f>SUM(J111:J113)</f>
        <v>96.5</v>
      </c>
      <c r="K114" s="599">
        <f>SUM(K111:K113)</f>
        <v>0</v>
      </c>
      <c r="L114" s="600">
        <f t="shared" si="32"/>
        <v>0</v>
      </c>
      <c r="M114" s="599">
        <f>SUM(M111:M113)</f>
        <v>838.99999999999989</v>
      </c>
      <c r="N114" s="599">
        <f>SUM(N111:N113)</f>
        <v>6.07</v>
      </c>
      <c r="O114" s="600">
        <f t="shared" si="33"/>
        <v>0.72348033373063181</v>
      </c>
      <c r="P114" s="599">
        <f>SUM(P111:P113)</f>
        <v>1286.3</v>
      </c>
      <c r="Q114" s="599">
        <f>SUM(Q111:Q113)</f>
        <v>101.95</v>
      </c>
      <c r="R114" s="600">
        <f t="shared" si="34"/>
        <v>7.9258337868304443</v>
      </c>
    </row>
    <row r="115" spans="1:18">
      <c r="A115" s="563"/>
      <c r="B115" s="563"/>
      <c r="C115" s="601"/>
      <c r="D115" s="564"/>
      <c r="E115" s="564"/>
      <c r="F115" s="564"/>
      <c r="G115" s="565"/>
      <c r="H115" s="565"/>
      <c r="I115" s="603"/>
      <c r="J115" s="565"/>
      <c r="K115" s="565"/>
      <c r="L115" s="603"/>
      <c r="M115" s="565"/>
      <c r="N115" s="565"/>
      <c r="O115" s="603"/>
      <c r="P115" s="565"/>
      <c r="Q115" s="565"/>
      <c r="R115" s="603"/>
    </row>
    <row r="116" spans="1:18">
      <c r="A116" s="606" t="s">
        <v>537</v>
      </c>
      <c r="B116" s="1639" t="s">
        <v>399</v>
      </c>
      <c r="C116" s="1639"/>
      <c r="D116" s="1626" t="s">
        <v>546</v>
      </c>
      <c r="E116" s="1626"/>
      <c r="F116" s="1626"/>
      <c r="G116" s="1626"/>
      <c r="H116" s="1626"/>
      <c r="I116" s="1626"/>
      <c r="J116" s="1626"/>
      <c r="K116" s="1626"/>
      <c r="L116" s="1626"/>
      <c r="M116" s="1626"/>
      <c r="N116" s="1626"/>
      <c r="O116" s="1626"/>
      <c r="P116" s="1626"/>
      <c r="Q116" s="1626"/>
      <c r="R116" s="1626"/>
    </row>
    <row r="117" spans="1:18">
      <c r="A117" s="1621" t="s">
        <v>343</v>
      </c>
      <c r="B117" s="1622" t="s">
        <v>501</v>
      </c>
      <c r="C117" s="1622" t="s">
        <v>484</v>
      </c>
      <c r="D117" s="1622"/>
      <c r="E117" s="1622" t="s">
        <v>485</v>
      </c>
      <c r="F117" s="1622"/>
      <c r="G117" s="1625" t="s">
        <v>486</v>
      </c>
      <c r="H117" s="1625"/>
      <c r="I117" s="1625"/>
      <c r="J117" s="1625" t="s">
        <v>487</v>
      </c>
      <c r="K117" s="1625"/>
      <c r="L117" s="1625"/>
      <c r="M117" s="1625" t="s">
        <v>488</v>
      </c>
      <c r="N117" s="1625"/>
      <c r="O117" s="1625"/>
      <c r="P117" s="1625" t="s">
        <v>489</v>
      </c>
      <c r="Q117" s="1625"/>
      <c r="R117" s="1625"/>
    </row>
    <row r="118" spans="1:18">
      <c r="A118" s="1621"/>
      <c r="B118" s="1622"/>
      <c r="C118" s="597" t="s">
        <v>530</v>
      </c>
      <c r="D118" s="441" t="s">
        <v>531</v>
      </c>
      <c r="E118" s="441" t="s">
        <v>490</v>
      </c>
      <c r="F118" s="441" t="s">
        <v>531</v>
      </c>
      <c r="G118" s="441" t="s">
        <v>490</v>
      </c>
      <c r="H118" s="441" t="s">
        <v>531</v>
      </c>
      <c r="I118" s="1042" t="s">
        <v>532</v>
      </c>
      <c r="J118" s="441" t="s">
        <v>490</v>
      </c>
      <c r="K118" s="441" t="s">
        <v>531</v>
      </c>
      <c r="L118" s="1042" t="s">
        <v>532</v>
      </c>
      <c r="M118" s="441" t="s">
        <v>490</v>
      </c>
      <c r="N118" s="441" t="s">
        <v>531</v>
      </c>
      <c r="O118" s="1042" t="s">
        <v>532</v>
      </c>
      <c r="P118" s="441" t="s">
        <v>490</v>
      </c>
      <c r="Q118" s="441" t="s">
        <v>531</v>
      </c>
      <c r="R118" s="1042" t="s">
        <v>532</v>
      </c>
    </row>
    <row r="119" spans="1:18">
      <c r="A119" s="560" t="s">
        <v>10</v>
      </c>
      <c r="B119" s="560">
        <v>2</v>
      </c>
      <c r="C119" s="599">
        <v>64.599999999999994</v>
      </c>
      <c r="D119" s="571">
        <v>87.74</v>
      </c>
      <c r="E119" s="599">
        <v>75.900000000000006</v>
      </c>
      <c r="F119" s="599">
        <v>4</v>
      </c>
      <c r="G119" s="599">
        <f>E119+C119</f>
        <v>140.5</v>
      </c>
      <c r="H119" s="599">
        <f>D119+F119</f>
        <v>91.74</v>
      </c>
      <c r="I119" s="599">
        <f>(H119/G119*100)</f>
        <v>65.295373665480426</v>
      </c>
      <c r="J119" s="599">
        <v>53.5</v>
      </c>
      <c r="K119" s="599">
        <v>19.899999999999999</v>
      </c>
      <c r="L119" s="599">
        <f>(K119/J119*100)</f>
        <v>37.196261682242984</v>
      </c>
      <c r="M119" s="599">
        <v>340</v>
      </c>
      <c r="N119" s="599">
        <v>6.5</v>
      </c>
      <c r="O119" s="599">
        <f>(N119/M119*100)</f>
        <v>1.911764705882353</v>
      </c>
      <c r="P119" s="599">
        <f>G119+J119+M119</f>
        <v>534</v>
      </c>
      <c r="Q119" s="599">
        <f>H119+K119+N119</f>
        <v>118.13999999999999</v>
      </c>
      <c r="R119" s="599">
        <f>(Q119/P119*100)</f>
        <v>22.123595505617974</v>
      </c>
    </row>
    <row r="120" spans="1:18">
      <c r="A120" s="442" t="s">
        <v>502</v>
      </c>
      <c r="B120" s="442">
        <v>2</v>
      </c>
      <c r="C120" s="443">
        <f>SUM(C119:C119)</f>
        <v>64.599999999999994</v>
      </c>
      <c r="D120" s="571">
        <f>SUM(D119)</f>
        <v>87.74</v>
      </c>
      <c r="E120" s="599">
        <f>SUM(E119:E119)</f>
        <v>75.900000000000006</v>
      </c>
      <c r="F120" s="599">
        <v>4</v>
      </c>
      <c r="G120" s="599">
        <f>E120+C120</f>
        <v>140.5</v>
      </c>
      <c r="H120" s="599">
        <f>D120+F120</f>
        <v>91.74</v>
      </c>
      <c r="I120" s="600">
        <f>(H120/G120*100)</f>
        <v>65.295373665480426</v>
      </c>
      <c r="J120" s="599">
        <f>SUM(J119:J119)</f>
        <v>53.5</v>
      </c>
      <c r="K120" s="599">
        <f>SUM(K119)</f>
        <v>19.899999999999999</v>
      </c>
      <c r="L120" s="600">
        <f>(K120/J120*100)</f>
        <v>37.196261682242984</v>
      </c>
      <c r="M120" s="599">
        <f>SUM(M119:M119)</f>
        <v>340</v>
      </c>
      <c r="N120" s="599">
        <f>SUM(N119)</f>
        <v>6.5</v>
      </c>
      <c r="O120" s="600">
        <f>(N120/M120*100)</f>
        <v>1.911764705882353</v>
      </c>
      <c r="P120" s="599">
        <f>SUM(P119:P119)</f>
        <v>534</v>
      </c>
      <c r="Q120" s="599">
        <f>H120+K120+N120</f>
        <v>118.13999999999999</v>
      </c>
      <c r="R120" s="600">
        <f>(Q120/P120*100)</f>
        <v>22.123595505617974</v>
      </c>
    </row>
    <row r="121" spans="1:18">
      <c r="A121" s="442" t="s">
        <v>115</v>
      </c>
      <c r="B121" s="442">
        <v>1</v>
      </c>
      <c r="C121" s="443">
        <v>22</v>
      </c>
      <c r="D121" s="599">
        <v>12.5</v>
      </c>
      <c r="E121" s="599">
        <v>9.3000000000000007</v>
      </c>
      <c r="F121" s="599">
        <v>0</v>
      </c>
      <c r="G121" s="599">
        <f>E121+C121</f>
        <v>31.3</v>
      </c>
      <c r="H121" s="599">
        <f>D121+F121</f>
        <v>12.5</v>
      </c>
      <c r="I121" s="600">
        <f>(H121/G121*100)</f>
        <v>39.936102236421725</v>
      </c>
      <c r="J121" s="599">
        <v>2.15</v>
      </c>
      <c r="K121" s="599">
        <v>0</v>
      </c>
      <c r="L121" s="600">
        <f>(K121/J121*100)</f>
        <v>0</v>
      </c>
      <c r="M121" s="599">
        <v>92.55</v>
      </c>
      <c r="N121" s="599">
        <v>2.5</v>
      </c>
      <c r="O121" s="600">
        <f>(N121/M121*100)</f>
        <v>2.7012425715829282</v>
      </c>
      <c r="P121" s="599">
        <f>G121+J121+M121</f>
        <v>126</v>
      </c>
      <c r="Q121" s="599">
        <f>H121+K121+N121</f>
        <v>15</v>
      </c>
      <c r="R121" s="600">
        <f>(Q121/P121*100)</f>
        <v>11.904761904761903</v>
      </c>
    </row>
    <row r="122" spans="1:18">
      <c r="A122" s="442" t="s">
        <v>507</v>
      </c>
      <c r="B122" s="442">
        <v>1</v>
      </c>
      <c r="C122" s="443">
        <v>3.7</v>
      </c>
      <c r="D122" s="599">
        <v>0</v>
      </c>
      <c r="E122" s="599">
        <v>84.5</v>
      </c>
      <c r="F122" s="599">
        <v>28.35</v>
      </c>
      <c r="G122" s="599">
        <f>E122+C122</f>
        <v>88.2</v>
      </c>
      <c r="H122" s="599">
        <f>D122+F122</f>
        <v>28.35</v>
      </c>
      <c r="I122" s="600">
        <f>(H122/G122*100)</f>
        <v>32.142857142857146</v>
      </c>
      <c r="J122" s="599">
        <v>5.5</v>
      </c>
      <c r="K122" s="599">
        <v>0</v>
      </c>
      <c r="L122" s="600">
        <f>(K122/J122*100)</f>
        <v>0</v>
      </c>
      <c r="M122" s="599">
        <v>52</v>
      </c>
      <c r="N122" s="599">
        <v>0</v>
      </c>
      <c r="O122" s="600">
        <f>(N122/M122*100)</f>
        <v>0</v>
      </c>
      <c r="P122" s="599">
        <f>G122+J122+M122</f>
        <v>145.69999999999999</v>
      </c>
      <c r="Q122" s="599">
        <f>H122+K122+N122</f>
        <v>28.35</v>
      </c>
      <c r="R122" s="600">
        <f>(Q122/P122*100)</f>
        <v>19.45778997940975</v>
      </c>
    </row>
    <row r="123" spans="1:18">
      <c r="A123" s="442" t="s">
        <v>505</v>
      </c>
      <c r="B123" s="442">
        <v>4</v>
      </c>
      <c r="C123" s="443">
        <f>SUM(C120:C122)</f>
        <v>90.3</v>
      </c>
      <c r="D123" s="571">
        <f>SUM(D120:D122)</f>
        <v>100.24</v>
      </c>
      <c r="E123" s="599">
        <f>SUM(E120:E122)</f>
        <v>169.7</v>
      </c>
      <c r="F123" s="599">
        <f>SUM(F120:F122)</f>
        <v>32.35</v>
      </c>
      <c r="G123" s="599">
        <f>E123+C123</f>
        <v>260</v>
      </c>
      <c r="H123" s="599">
        <f>F123+D123</f>
        <v>132.59</v>
      </c>
      <c r="I123" s="600">
        <f>(H123/G123*100)</f>
        <v>50.996153846153845</v>
      </c>
      <c r="J123" s="599">
        <f>SUM(J120:J122)</f>
        <v>61.15</v>
      </c>
      <c r="K123" s="599">
        <f>SUM(K120:K122)</f>
        <v>19.899999999999999</v>
      </c>
      <c r="L123" s="600">
        <f>(K123/J123*100)</f>
        <v>32.542927228127553</v>
      </c>
      <c r="M123" s="599">
        <f>SUM(M120:M122)</f>
        <v>484.55</v>
      </c>
      <c r="N123" s="599">
        <f>SUM(N120:N122)</f>
        <v>9</v>
      </c>
      <c r="O123" s="600">
        <f>(N123/M123*100)</f>
        <v>1.8573934578474873</v>
      </c>
      <c r="P123" s="599">
        <f>SUM(P120:P122)</f>
        <v>805.7</v>
      </c>
      <c r="Q123" s="599">
        <f>H123+K123+N123</f>
        <v>161.49</v>
      </c>
      <c r="R123" s="600">
        <f>(Q123/P123*100)</f>
        <v>20.043440486533449</v>
      </c>
    </row>
    <row r="124" spans="1:18">
      <c r="A124" s="574"/>
      <c r="B124" s="574"/>
      <c r="C124" s="580"/>
      <c r="D124" s="579"/>
      <c r="E124" s="567"/>
      <c r="F124" s="567"/>
      <c r="G124" s="567"/>
      <c r="H124" s="567"/>
      <c r="I124" s="609"/>
      <c r="J124" s="567"/>
      <c r="K124" s="567"/>
      <c r="L124" s="609"/>
      <c r="M124" s="567"/>
      <c r="N124" s="567"/>
      <c r="O124" s="609"/>
      <c r="P124" s="567"/>
      <c r="Q124" s="567"/>
      <c r="R124" s="609"/>
    </row>
    <row r="125" spans="1:18">
      <c r="A125" s="574"/>
      <c r="B125" s="574"/>
      <c r="C125" s="580"/>
      <c r="D125" s="579"/>
      <c r="E125" s="567"/>
      <c r="F125" s="567"/>
      <c r="G125" s="567"/>
      <c r="H125" s="567"/>
      <c r="I125" s="609"/>
      <c r="J125" s="567"/>
      <c r="K125" s="567"/>
      <c r="L125" s="609"/>
      <c r="M125" s="567"/>
      <c r="N125" s="567"/>
      <c r="O125" s="609"/>
      <c r="P125" s="567"/>
      <c r="Q125" s="567"/>
      <c r="R125" s="609"/>
    </row>
    <row r="126" spans="1:18" s="741" customFormat="1">
      <c r="A126" s="574"/>
      <c r="B126" s="574"/>
      <c r="C126" s="580"/>
      <c r="D126" s="579"/>
      <c r="E126" s="567"/>
      <c r="F126" s="567"/>
      <c r="G126" s="567"/>
      <c r="H126" s="567"/>
      <c r="I126" s="609"/>
      <c r="J126" s="567"/>
      <c r="K126" s="567"/>
      <c r="L126" s="609"/>
      <c r="M126" s="567"/>
      <c r="N126" s="567"/>
      <c r="O126" s="609"/>
      <c r="P126" s="567"/>
      <c r="Q126" s="567"/>
      <c r="R126" s="609"/>
    </row>
    <row r="127" spans="1:18" s="741" customFormat="1">
      <c r="A127" s="574"/>
      <c r="B127" s="574"/>
      <c r="C127" s="580"/>
      <c r="D127" s="579"/>
      <c r="E127" s="567"/>
      <c r="F127" s="567"/>
      <c r="G127" s="567"/>
      <c r="H127" s="567"/>
      <c r="I127" s="609"/>
      <c r="J127" s="567"/>
      <c r="K127" s="567"/>
      <c r="L127" s="609"/>
      <c r="M127" s="567"/>
      <c r="N127" s="567"/>
      <c r="O127" s="609"/>
      <c r="P127" s="567"/>
      <c r="Q127" s="567"/>
      <c r="R127" s="609"/>
    </row>
    <row r="128" spans="1:18">
      <c r="A128" s="574"/>
      <c r="B128" s="574"/>
      <c r="C128" s="580"/>
      <c r="D128" s="579"/>
      <c r="E128" s="567"/>
      <c r="F128" s="567"/>
      <c r="G128" s="567"/>
      <c r="H128" s="567"/>
      <c r="I128" s="609"/>
      <c r="J128" s="567"/>
      <c r="K128" s="567"/>
      <c r="L128" s="609"/>
      <c r="M128" s="567"/>
      <c r="N128" s="567"/>
      <c r="O128" s="609"/>
      <c r="P128" s="567"/>
      <c r="Q128" s="567"/>
      <c r="R128" s="609"/>
    </row>
    <row r="129" spans="1:18">
      <c r="A129" s="574"/>
      <c r="B129" s="574"/>
      <c r="C129" s="580"/>
      <c r="D129" s="579"/>
      <c r="E129" s="567"/>
      <c r="F129" s="567"/>
      <c r="G129" s="567"/>
      <c r="H129" s="567"/>
      <c r="I129" s="609"/>
      <c r="J129" s="567"/>
      <c r="K129" s="567"/>
      <c r="L129" s="609"/>
      <c r="M129" s="567"/>
      <c r="N129" s="567"/>
      <c r="O129" s="609"/>
      <c r="P129" s="567"/>
      <c r="Q129" s="567"/>
      <c r="R129" s="609"/>
    </row>
    <row r="130" spans="1:18">
      <c r="A130" s="1638">
        <v>48</v>
      </c>
      <c r="B130" s="1638"/>
      <c r="C130" s="1638"/>
      <c r="D130" s="1638"/>
      <c r="E130" s="1638"/>
      <c r="F130" s="1638"/>
      <c r="G130" s="1638"/>
      <c r="H130" s="1638"/>
      <c r="I130" s="1638"/>
      <c r="J130" s="1638"/>
      <c r="K130" s="1638"/>
      <c r="L130" s="1638"/>
      <c r="M130" s="1638"/>
      <c r="N130" s="1638"/>
      <c r="O130" s="1638"/>
      <c r="P130" s="1638"/>
      <c r="Q130" s="1638"/>
      <c r="R130" s="1638"/>
    </row>
    <row r="131" spans="1:18">
      <c r="A131" s="574" t="s">
        <v>508</v>
      </c>
      <c r="B131" s="574"/>
      <c r="C131" s="610"/>
      <c r="D131" s="1626" t="s">
        <v>546</v>
      </c>
      <c r="E131" s="1626"/>
      <c r="F131" s="1626"/>
      <c r="G131" s="1626"/>
      <c r="H131" s="1626"/>
      <c r="I131" s="1626"/>
      <c r="J131" s="1626"/>
      <c r="K131" s="1626"/>
      <c r="L131" s="1626"/>
      <c r="M131" s="1626"/>
      <c r="N131" s="1626"/>
      <c r="O131" s="1626"/>
      <c r="P131" s="1626"/>
      <c r="Q131" s="1627" t="s">
        <v>315</v>
      </c>
      <c r="R131" s="1627"/>
    </row>
    <row r="132" spans="1:18">
      <c r="A132" s="1621" t="s">
        <v>343</v>
      </c>
      <c r="B132" s="1622" t="s">
        <v>501</v>
      </c>
      <c r="C132" s="1622" t="s">
        <v>484</v>
      </c>
      <c r="D132" s="1622"/>
      <c r="E132" s="1622" t="s">
        <v>485</v>
      </c>
      <c r="F132" s="1622"/>
      <c r="G132" s="1625" t="s">
        <v>486</v>
      </c>
      <c r="H132" s="1625"/>
      <c r="I132" s="1625"/>
      <c r="J132" s="1625" t="s">
        <v>487</v>
      </c>
      <c r="K132" s="1625"/>
      <c r="L132" s="1625"/>
      <c r="M132" s="1625" t="s">
        <v>488</v>
      </c>
      <c r="N132" s="1625"/>
      <c r="O132" s="1625"/>
      <c r="P132" s="1625" t="s">
        <v>489</v>
      </c>
      <c r="Q132" s="1625"/>
      <c r="R132" s="1625"/>
    </row>
    <row r="133" spans="1:18">
      <c r="A133" s="1621"/>
      <c r="B133" s="1622"/>
      <c r="C133" s="597" t="s">
        <v>530</v>
      </c>
      <c r="D133" s="441" t="s">
        <v>531</v>
      </c>
      <c r="E133" s="441" t="s">
        <v>490</v>
      </c>
      <c r="F133" s="441" t="s">
        <v>531</v>
      </c>
      <c r="G133" s="441" t="s">
        <v>490</v>
      </c>
      <c r="H133" s="441" t="s">
        <v>531</v>
      </c>
      <c r="I133" s="1042" t="s">
        <v>532</v>
      </c>
      <c r="J133" s="441" t="s">
        <v>490</v>
      </c>
      <c r="K133" s="441" t="s">
        <v>531</v>
      </c>
      <c r="L133" s="1042" t="s">
        <v>532</v>
      </c>
      <c r="M133" s="441" t="s">
        <v>490</v>
      </c>
      <c r="N133" s="441" t="s">
        <v>531</v>
      </c>
      <c r="O133" s="1042" t="s">
        <v>532</v>
      </c>
      <c r="P133" s="441" t="s">
        <v>490</v>
      </c>
      <c r="Q133" s="441" t="s">
        <v>531</v>
      </c>
      <c r="R133" s="1042" t="s">
        <v>532</v>
      </c>
    </row>
    <row r="134" spans="1:18">
      <c r="A134" s="560" t="s">
        <v>10</v>
      </c>
      <c r="B134" s="560">
        <v>2</v>
      </c>
      <c r="C134" s="599">
        <v>64.599999999999994</v>
      </c>
      <c r="D134" s="599">
        <v>1.34</v>
      </c>
      <c r="E134" s="599">
        <v>75.900000000000006</v>
      </c>
      <c r="F134" s="599">
        <v>0</v>
      </c>
      <c r="G134" s="599">
        <f t="shared" ref="G134:G140" si="35">E134+C134</f>
        <v>140.5</v>
      </c>
      <c r="H134" s="599">
        <f>D134+F134</f>
        <v>1.34</v>
      </c>
      <c r="I134" s="599">
        <f t="shared" ref="I134:I140" si="36">(H134/G134*100)</f>
        <v>0.9537366548042705</v>
      </c>
      <c r="J134" s="599">
        <v>53.5</v>
      </c>
      <c r="K134" s="599">
        <v>0</v>
      </c>
      <c r="L134" s="599">
        <f t="shared" ref="L134:L140" si="37">(K134/J134*100)</f>
        <v>0</v>
      </c>
      <c r="M134" s="599">
        <v>390</v>
      </c>
      <c r="N134" s="599">
        <v>24.75</v>
      </c>
      <c r="O134" s="599">
        <f t="shared" ref="O134:O140" si="38">(N134/M134*100)</f>
        <v>6.3461538461538458</v>
      </c>
      <c r="P134" s="599">
        <f t="shared" ref="P134:Q137" si="39">G134+J134+M134</f>
        <v>584</v>
      </c>
      <c r="Q134" s="599">
        <f t="shared" si="39"/>
        <v>26.09</v>
      </c>
      <c r="R134" s="599">
        <f t="shared" ref="R134:R140" si="40">(Q134/P134*100)</f>
        <v>4.4674657534246576</v>
      </c>
    </row>
    <row r="135" spans="1:18">
      <c r="A135" s="442" t="s">
        <v>509</v>
      </c>
      <c r="B135" s="442">
        <v>2</v>
      </c>
      <c r="C135" s="443">
        <v>77.650000000000006</v>
      </c>
      <c r="D135" s="599">
        <v>0</v>
      </c>
      <c r="E135" s="599">
        <v>126.1</v>
      </c>
      <c r="F135" s="599">
        <v>0</v>
      </c>
      <c r="G135" s="599">
        <f t="shared" si="35"/>
        <v>203.75</v>
      </c>
      <c r="H135" s="599">
        <f>D135+F135</f>
        <v>0</v>
      </c>
      <c r="I135" s="600">
        <f t="shared" si="36"/>
        <v>0</v>
      </c>
      <c r="J135" s="599">
        <v>74.099999999999994</v>
      </c>
      <c r="K135" s="599">
        <v>0</v>
      </c>
      <c r="L135" s="600">
        <f t="shared" si="37"/>
        <v>0</v>
      </c>
      <c r="M135" s="599">
        <v>612.04999999999995</v>
      </c>
      <c r="N135" s="599">
        <v>5</v>
      </c>
      <c r="O135" s="600">
        <f t="shared" si="38"/>
        <v>0.81692672167306601</v>
      </c>
      <c r="P135" s="599">
        <f t="shared" si="39"/>
        <v>889.9</v>
      </c>
      <c r="Q135" s="599">
        <f t="shared" si="39"/>
        <v>5</v>
      </c>
      <c r="R135" s="600">
        <f t="shared" si="40"/>
        <v>0.56186088324530847</v>
      </c>
    </row>
    <row r="136" spans="1:18">
      <c r="A136" s="442" t="s">
        <v>32</v>
      </c>
      <c r="B136" s="442">
        <v>1</v>
      </c>
      <c r="C136" s="443">
        <v>46.6</v>
      </c>
      <c r="D136" s="599">
        <v>0</v>
      </c>
      <c r="E136" s="599">
        <v>11</v>
      </c>
      <c r="F136" s="599">
        <v>0</v>
      </c>
      <c r="G136" s="599">
        <f t="shared" si="35"/>
        <v>57.6</v>
      </c>
      <c r="H136" s="599">
        <f>D136+F136</f>
        <v>0</v>
      </c>
      <c r="I136" s="600">
        <f t="shared" si="36"/>
        <v>0</v>
      </c>
      <c r="J136" s="599">
        <v>5</v>
      </c>
      <c r="K136" s="599">
        <v>0</v>
      </c>
      <c r="L136" s="600">
        <f t="shared" si="37"/>
        <v>0</v>
      </c>
      <c r="M136" s="599">
        <v>366.15</v>
      </c>
      <c r="N136" s="599">
        <v>0</v>
      </c>
      <c r="O136" s="600">
        <f t="shared" si="38"/>
        <v>0</v>
      </c>
      <c r="P136" s="599">
        <f t="shared" si="39"/>
        <v>428.75</v>
      </c>
      <c r="Q136" s="599">
        <f t="shared" si="39"/>
        <v>0</v>
      </c>
      <c r="R136" s="600">
        <f t="shared" si="40"/>
        <v>0</v>
      </c>
    </row>
    <row r="137" spans="1:18">
      <c r="A137" s="442" t="s">
        <v>11</v>
      </c>
      <c r="B137" s="442">
        <v>1</v>
      </c>
      <c r="C137" s="443">
        <v>7</v>
      </c>
      <c r="D137" s="599">
        <v>0</v>
      </c>
      <c r="E137" s="599">
        <v>0</v>
      </c>
      <c r="F137" s="599">
        <v>0</v>
      </c>
      <c r="G137" s="599">
        <f t="shared" si="35"/>
        <v>7</v>
      </c>
      <c r="H137" s="599">
        <v>0</v>
      </c>
      <c r="I137" s="600">
        <v>0</v>
      </c>
      <c r="J137" s="599">
        <v>5</v>
      </c>
      <c r="K137" s="599">
        <v>0</v>
      </c>
      <c r="L137" s="600">
        <v>0</v>
      </c>
      <c r="M137" s="599">
        <v>2</v>
      </c>
      <c r="N137" s="599">
        <v>0</v>
      </c>
      <c r="O137" s="600">
        <v>0</v>
      </c>
      <c r="P137" s="599">
        <f t="shared" si="39"/>
        <v>14</v>
      </c>
      <c r="Q137" s="599">
        <v>0</v>
      </c>
      <c r="R137" s="600">
        <v>0</v>
      </c>
    </row>
    <row r="138" spans="1:18">
      <c r="A138" s="442" t="s">
        <v>502</v>
      </c>
      <c r="B138" s="442">
        <v>6</v>
      </c>
      <c r="C138" s="444">
        <f>SUM(C134:C137)</f>
        <v>195.85</v>
      </c>
      <c r="D138" s="599">
        <f>SUM(D134:D136)</f>
        <v>1.34</v>
      </c>
      <c r="E138" s="599">
        <f>SUM(E134:E137)</f>
        <v>213</v>
      </c>
      <c r="F138" s="599">
        <f>SUM(F134:F136)</f>
        <v>0</v>
      </c>
      <c r="G138" s="599">
        <f t="shared" si="35"/>
        <v>408.85</v>
      </c>
      <c r="H138" s="599">
        <f>D138+F138</f>
        <v>1.34</v>
      </c>
      <c r="I138" s="600">
        <f t="shared" si="36"/>
        <v>0.32774856304268069</v>
      </c>
      <c r="J138" s="599">
        <f>SUM(J134:J137)</f>
        <v>137.6</v>
      </c>
      <c r="K138" s="599">
        <f>SUM(K134:K136)</f>
        <v>0</v>
      </c>
      <c r="L138" s="600">
        <f t="shared" si="37"/>
        <v>0</v>
      </c>
      <c r="M138" s="599">
        <f>SUM(M134:M137)</f>
        <v>1370.1999999999998</v>
      </c>
      <c r="N138" s="599">
        <f>SUM(N134:N136)</f>
        <v>29.75</v>
      </c>
      <c r="O138" s="600">
        <f t="shared" si="38"/>
        <v>2.1712158808933006</v>
      </c>
      <c r="P138" s="599">
        <f>SUM(P134:P137)</f>
        <v>1916.65</v>
      </c>
      <c r="Q138" s="599">
        <f>H138+K138+N138</f>
        <v>31.09</v>
      </c>
      <c r="R138" s="600">
        <f t="shared" si="40"/>
        <v>1.6221010617483627</v>
      </c>
    </row>
    <row r="139" spans="1:18">
      <c r="A139" s="442" t="s">
        <v>507</v>
      </c>
      <c r="B139" s="442">
        <v>2</v>
      </c>
      <c r="C139" s="443">
        <v>7.45</v>
      </c>
      <c r="D139" s="599">
        <v>0</v>
      </c>
      <c r="E139" s="599">
        <v>169</v>
      </c>
      <c r="F139" s="599">
        <v>5.31</v>
      </c>
      <c r="G139" s="599">
        <f t="shared" si="35"/>
        <v>176.45</v>
      </c>
      <c r="H139" s="599">
        <f>D139+F139</f>
        <v>5.31</v>
      </c>
      <c r="I139" s="600">
        <f t="shared" si="36"/>
        <v>3.009351090960612</v>
      </c>
      <c r="J139" s="599">
        <v>10.85</v>
      </c>
      <c r="K139" s="599">
        <v>0.5</v>
      </c>
      <c r="L139" s="600">
        <f t="shared" si="37"/>
        <v>4.6082949308755765</v>
      </c>
      <c r="M139" s="599">
        <v>103.8</v>
      </c>
      <c r="N139" s="599">
        <v>0</v>
      </c>
      <c r="O139" s="600">
        <f t="shared" si="38"/>
        <v>0</v>
      </c>
      <c r="P139" s="599">
        <f>G139+J139+M139</f>
        <v>291.09999999999997</v>
      </c>
      <c r="Q139" s="599">
        <f>H139+K139+N139</f>
        <v>5.81</v>
      </c>
      <c r="R139" s="600">
        <f t="shared" si="40"/>
        <v>1.995877705255926</v>
      </c>
    </row>
    <row r="140" spans="1:18">
      <c r="A140" s="442" t="s">
        <v>505</v>
      </c>
      <c r="B140" s="442">
        <v>8</v>
      </c>
      <c r="C140" s="443">
        <f>SUM(C138:C139)</f>
        <v>203.29999999999998</v>
      </c>
      <c r="D140" s="599">
        <f>SUM(D138:D139)</f>
        <v>1.34</v>
      </c>
      <c r="E140" s="599">
        <f>SUM(E138:E139)</f>
        <v>382</v>
      </c>
      <c r="F140" s="599">
        <f>SUM(F138:F139)</f>
        <v>5.31</v>
      </c>
      <c r="G140" s="599">
        <f t="shared" si="35"/>
        <v>585.29999999999995</v>
      </c>
      <c r="H140" s="599">
        <f>F140+D140</f>
        <v>6.6499999999999995</v>
      </c>
      <c r="I140" s="600">
        <f t="shared" si="36"/>
        <v>1.1361694857338118</v>
      </c>
      <c r="J140" s="599">
        <f>SUM(J138:J139)</f>
        <v>148.44999999999999</v>
      </c>
      <c r="K140" s="599">
        <v>0.5</v>
      </c>
      <c r="L140" s="600">
        <f t="shared" si="37"/>
        <v>0.33681374200067365</v>
      </c>
      <c r="M140" s="599">
        <f>SUM(M138:M139)</f>
        <v>1473.9999999999998</v>
      </c>
      <c r="N140" s="599">
        <f>SUM(N138:N139)</f>
        <v>29.75</v>
      </c>
      <c r="O140" s="600">
        <f t="shared" si="38"/>
        <v>2.0183175033921303</v>
      </c>
      <c r="P140" s="599">
        <f>SUM(P138:P139)</f>
        <v>2207.75</v>
      </c>
      <c r="Q140" s="599">
        <f>H140+K140+N140</f>
        <v>36.9</v>
      </c>
      <c r="R140" s="600">
        <f t="shared" si="40"/>
        <v>1.6713848941229756</v>
      </c>
    </row>
    <row r="141" spans="1:18">
      <c r="A141" s="563"/>
      <c r="B141" s="563"/>
      <c r="C141" s="601"/>
      <c r="D141" s="564"/>
      <c r="E141" s="564"/>
      <c r="F141" s="564"/>
      <c r="G141" s="565"/>
      <c r="H141" s="565"/>
      <c r="I141" s="603"/>
      <c r="J141" s="565"/>
      <c r="K141" s="565"/>
      <c r="L141" s="603"/>
      <c r="M141" s="565"/>
      <c r="N141" s="565"/>
      <c r="O141" s="603"/>
      <c r="P141" s="565"/>
      <c r="Q141" s="565"/>
      <c r="R141" s="603"/>
    </row>
    <row r="142" spans="1:18">
      <c r="A142" s="563"/>
      <c r="B142" s="563"/>
      <c r="C142" s="601"/>
      <c r="D142" s="564"/>
      <c r="E142" s="564"/>
      <c r="F142" s="564"/>
      <c r="G142" s="565"/>
      <c r="H142" s="565"/>
      <c r="I142" s="603"/>
      <c r="J142" s="578"/>
      <c r="K142" s="578"/>
      <c r="L142" s="615"/>
      <c r="M142" s="565"/>
      <c r="N142" s="565"/>
      <c r="O142" s="603"/>
      <c r="P142" s="565"/>
      <c r="Q142" s="565"/>
      <c r="R142" s="603"/>
    </row>
    <row r="143" spans="1:18">
      <c r="A143" s="606" t="s">
        <v>537</v>
      </c>
      <c r="B143" s="616" t="s">
        <v>400</v>
      </c>
      <c r="C143" s="616"/>
      <c r="D143" s="1629" t="s">
        <v>548</v>
      </c>
      <c r="E143" s="1629"/>
      <c r="F143" s="1629"/>
      <c r="G143" s="1629"/>
      <c r="H143" s="1629"/>
      <c r="I143" s="1629"/>
      <c r="J143" s="1629"/>
      <c r="K143" s="1629"/>
      <c r="L143" s="1629"/>
      <c r="M143" s="1629"/>
      <c r="N143" s="1629"/>
      <c r="O143" s="1629"/>
      <c r="P143" s="1629"/>
      <c r="Q143" s="1629"/>
      <c r="R143" s="1629"/>
    </row>
    <row r="144" spans="1:18">
      <c r="A144" s="1630" t="s">
        <v>500</v>
      </c>
      <c r="B144" s="1631" t="s">
        <v>501</v>
      </c>
      <c r="C144" s="1633" t="s">
        <v>484</v>
      </c>
      <c r="D144" s="1634"/>
      <c r="E144" s="1633" t="s">
        <v>485</v>
      </c>
      <c r="F144" s="1634"/>
      <c r="G144" s="1635" t="s">
        <v>486</v>
      </c>
      <c r="H144" s="1636"/>
      <c r="I144" s="1637"/>
      <c r="J144" s="1635" t="s">
        <v>487</v>
      </c>
      <c r="K144" s="1636"/>
      <c r="L144" s="1637"/>
      <c r="M144" s="1635" t="s">
        <v>488</v>
      </c>
      <c r="N144" s="1636"/>
      <c r="O144" s="1637"/>
      <c r="P144" s="1635" t="s">
        <v>489</v>
      </c>
      <c r="Q144" s="1636"/>
      <c r="R144" s="1637"/>
    </row>
    <row r="145" spans="1:18">
      <c r="A145" s="1630"/>
      <c r="B145" s="1632"/>
      <c r="C145" s="617" t="s">
        <v>530</v>
      </c>
      <c r="D145" s="618" t="s">
        <v>531</v>
      </c>
      <c r="E145" s="618" t="s">
        <v>490</v>
      </c>
      <c r="F145" s="618" t="s">
        <v>531</v>
      </c>
      <c r="G145" s="618" t="s">
        <v>490</v>
      </c>
      <c r="H145" s="618" t="s">
        <v>531</v>
      </c>
      <c r="I145" s="619" t="s">
        <v>532</v>
      </c>
      <c r="J145" s="618" t="s">
        <v>490</v>
      </c>
      <c r="K145" s="618" t="s">
        <v>531</v>
      </c>
      <c r="L145" s="619" t="s">
        <v>532</v>
      </c>
      <c r="M145" s="618" t="s">
        <v>490</v>
      </c>
      <c r="N145" s="618" t="s">
        <v>531</v>
      </c>
      <c r="O145" s="619" t="s">
        <v>532</v>
      </c>
      <c r="P145" s="618" t="s">
        <v>490</v>
      </c>
      <c r="Q145" s="618" t="s">
        <v>531</v>
      </c>
      <c r="R145" s="619" t="s">
        <v>532</v>
      </c>
    </row>
    <row r="146" spans="1:18">
      <c r="A146" s="1370" t="s">
        <v>10</v>
      </c>
      <c r="B146" s="1370">
        <v>2</v>
      </c>
      <c r="C146" s="620">
        <v>64.599999999999994</v>
      </c>
      <c r="D146" s="620">
        <v>4.7699999999999996</v>
      </c>
      <c r="E146" s="620">
        <v>75.900000000000006</v>
      </c>
      <c r="F146" s="620">
        <v>0</v>
      </c>
      <c r="G146" s="620">
        <f>E146+C146</f>
        <v>140.5</v>
      </c>
      <c r="H146" s="620">
        <f>D146+F146</f>
        <v>4.7699999999999996</v>
      </c>
      <c r="I146" s="620">
        <f>(H146/G146*100)</f>
        <v>3.3950177935943056</v>
      </c>
      <c r="J146" s="620">
        <v>53.5</v>
      </c>
      <c r="K146" s="620">
        <v>0</v>
      </c>
      <c r="L146" s="620">
        <f>(K146/J146*100)</f>
        <v>0</v>
      </c>
      <c r="M146" s="620">
        <v>340</v>
      </c>
      <c r="N146" s="620">
        <v>0</v>
      </c>
      <c r="O146" s="620">
        <f>(N146/M146*100)</f>
        <v>0</v>
      </c>
      <c r="P146" s="620">
        <f>G146+J146+M146</f>
        <v>534</v>
      </c>
      <c r="Q146" s="620">
        <f>H146+K146+N146</f>
        <v>4.7699999999999996</v>
      </c>
      <c r="R146" s="620">
        <f>(Q146/P146*100)</f>
        <v>0.8932584269662921</v>
      </c>
    </row>
    <row r="147" spans="1:18">
      <c r="A147" s="621" t="s">
        <v>502</v>
      </c>
      <c r="B147" s="621">
        <f t="shared" ref="B147:E148" si="41">SUM(B146)</f>
        <v>2</v>
      </c>
      <c r="C147" s="622">
        <f t="shared" si="41"/>
        <v>64.599999999999994</v>
      </c>
      <c r="D147" s="620">
        <f>SUM(D146)</f>
        <v>4.7699999999999996</v>
      </c>
      <c r="E147" s="620">
        <f t="shared" si="41"/>
        <v>75.900000000000006</v>
      </c>
      <c r="F147" s="620">
        <v>0</v>
      </c>
      <c r="G147" s="620">
        <f>E147+C147</f>
        <v>140.5</v>
      </c>
      <c r="H147" s="620">
        <f>D147+F147</f>
        <v>4.7699999999999996</v>
      </c>
      <c r="I147" s="623">
        <f>(H147/G147*100)</f>
        <v>3.3950177935943056</v>
      </c>
      <c r="J147" s="620">
        <f>SUM(J146)</f>
        <v>53.5</v>
      </c>
      <c r="K147" s="620">
        <v>0</v>
      </c>
      <c r="L147" s="623">
        <f>(K147/J147*100)</f>
        <v>0</v>
      </c>
      <c r="M147" s="620">
        <f>SUM(M146)</f>
        <v>340</v>
      </c>
      <c r="N147" s="620">
        <v>0</v>
      </c>
      <c r="O147" s="623">
        <f>(N147/M147*100)</f>
        <v>0</v>
      </c>
      <c r="P147" s="620">
        <f>SUM(P146)</f>
        <v>534</v>
      </c>
      <c r="Q147" s="620">
        <f>H147+K147+N147</f>
        <v>4.7699999999999996</v>
      </c>
      <c r="R147" s="623">
        <f>(Q147/P147*100)</f>
        <v>0.8932584269662921</v>
      </c>
    </row>
    <row r="148" spans="1:18">
      <c r="A148" s="621" t="s">
        <v>505</v>
      </c>
      <c r="B148" s="621">
        <f t="shared" si="41"/>
        <v>2</v>
      </c>
      <c r="C148" s="622">
        <f>SUM(C147)</f>
        <v>64.599999999999994</v>
      </c>
      <c r="D148" s="620">
        <f>SUM(D147)</f>
        <v>4.7699999999999996</v>
      </c>
      <c r="E148" s="620">
        <f>SUM(E147)</f>
        <v>75.900000000000006</v>
      </c>
      <c r="F148" s="620">
        <f>SUM(F147)</f>
        <v>0</v>
      </c>
      <c r="G148" s="620">
        <f>E148+C148</f>
        <v>140.5</v>
      </c>
      <c r="H148" s="620">
        <f>F148+D148</f>
        <v>4.7699999999999996</v>
      </c>
      <c r="I148" s="623">
        <f>(H148/G148*100)</f>
        <v>3.3950177935943056</v>
      </c>
      <c r="J148" s="620">
        <f>SUM(J147)</f>
        <v>53.5</v>
      </c>
      <c r="K148" s="620">
        <f>SUM(K147)</f>
        <v>0</v>
      </c>
      <c r="L148" s="623">
        <f>(K148/J148*100)</f>
        <v>0</v>
      </c>
      <c r="M148" s="620">
        <f>SUM(M147)</f>
        <v>340</v>
      </c>
      <c r="N148" s="620">
        <v>0</v>
      </c>
      <c r="O148" s="623">
        <f>(N148/M148*100)</f>
        <v>0</v>
      </c>
      <c r="P148" s="620">
        <f>SUM(P147)</f>
        <v>534</v>
      </c>
      <c r="Q148" s="620">
        <f>H148+K148+N148</f>
        <v>4.7699999999999996</v>
      </c>
      <c r="R148" s="623">
        <f>(Q148/P148*100)</f>
        <v>0.8932584269662921</v>
      </c>
    </row>
    <row r="149" spans="1:18">
      <c r="A149" s="568"/>
      <c r="B149" s="568"/>
      <c r="C149" s="611"/>
      <c r="D149" s="569"/>
      <c r="E149" s="569"/>
      <c r="F149" s="569"/>
      <c r="G149" s="570"/>
      <c r="H149" s="570"/>
      <c r="I149" s="612"/>
      <c r="J149" s="570"/>
      <c r="K149" s="570"/>
      <c r="L149" s="612"/>
      <c r="M149" s="570"/>
      <c r="N149" s="570"/>
      <c r="O149" s="612"/>
      <c r="P149" s="570"/>
      <c r="Q149" s="573"/>
      <c r="R149" s="612"/>
    </row>
    <row r="150" spans="1:18">
      <c r="A150" s="568"/>
      <c r="B150" s="568"/>
      <c r="C150" s="611"/>
      <c r="D150" s="569"/>
      <c r="E150" s="569"/>
      <c r="F150" s="569"/>
      <c r="G150" s="570"/>
      <c r="H150" s="570"/>
      <c r="I150" s="612"/>
      <c r="J150" s="570"/>
      <c r="K150" s="570"/>
      <c r="L150" s="612"/>
      <c r="M150" s="570"/>
      <c r="N150" s="570"/>
      <c r="O150" s="612"/>
      <c r="P150" s="570"/>
      <c r="Q150" s="570"/>
      <c r="R150" s="612"/>
    </row>
    <row r="151" spans="1:18">
      <c r="A151" s="606" t="s">
        <v>537</v>
      </c>
      <c r="B151" s="624" t="s">
        <v>398</v>
      </c>
      <c r="C151" s="624"/>
      <c r="D151" s="1626" t="s">
        <v>549</v>
      </c>
      <c r="E151" s="1626"/>
      <c r="F151" s="1626"/>
      <c r="G151" s="1626"/>
      <c r="H151" s="1626"/>
      <c r="I151" s="1626"/>
      <c r="J151" s="1626"/>
      <c r="K151" s="1626"/>
      <c r="L151" s="1626"/>
      <c r="M151" s="1626"/>
      <c r="N151" s="1626"/>
      <c r="O151" s="1626"/>
      <c r="P151" s="1626"/>
      <c r="Q151" s="1626"/>
      <c r="R151" s="1626"/>
    </row>
    <row r="152" spans="1:18">
      <c r="A152" s="1621" t="s">
        <v>500</v>
      </c>
      <c r="B152" s="1622" t="s">
        <v>501</v>
      </c>
      <c r="C152" s="1622" t="s">
        <v>484</v>
      </c>
      <c r="D152" s="1622"/>
      <c r="E152" s="1622" t="s">
        <v>485</v>
      </c>
      <c r="F152" s="1622"/>
      <c r="G152" s="1625" t="s">
        <v>486</v>
      </c>
      <c r="H152" s="1625"/>
      <c r="I152" s="1625"/>
      <c r="J152" s="1625" t="s">
        <v>487</v>
      </c>
      <c r="K152" s="1625"/>
      <c r="L152" s="1625"/>
      <c r="M152" s="1625" t="s">
        <v>488</v>
      </c>
      <c r="N152" s="1625"/>
      <c r="O152" s="1625"/>
      <c r="P152" s="1625" t="s">
        <v>489</v>
      </c>
      <c r="Q152" s="1625"/>
      <c r="R152" s="1625"/>
    </row>
    <row r="153" spans="1:18">
      <c r="A153" s="1621"/>
      <c r="B153" s="1622"/>
      <c r="C153" s="597" t="s">
        <v>530</v>
      </c>
      <c r="D153" s="441" t="s">
        <v>531</v>
      </c>
      <c r="E153" s="441" t="s">
        <v>490</v>
      </c>
      <c r="F153" s="441" t="s">
        <v>531</v>
      </c>
      <c r="G153" s="441" t="s">
        <v>490</v>
      </c>
      <c r="H153" s="441" t="s">
        <v>531</v>
      </c>
      <c r="I153" s="1042" t="s">
        <v>532</v>
      </c>
      <c r="J153" s="441" t="s">
        <v>490</v>
      </c>
      <c r="K153" s="441" t="s">
        <v>531</v>
      </c>
      <c r="L153" s="1042" t="s">
        <v>532</v>
      </c>
      <c r="M153" s="441" t="s">
        <v>490</v>
      </c>
      <c r="N153" s="441" t="s">
        <v>531</v>
      </c>
      <c r="O153" s="1042" t="s">
        <v>532</v>
      </c>
      <c r="P153" s="441" t="s">
        <v>490</v>
      </c>
      <c r="Q153" s="441" t="s">
        <v>531</v>
      </c>
      <c r="R153" s="1042" t="s">
        <v>532</v>
      </c>
    </row>
    <row r="154" spans="1:18">
      <c r="A154" s="560" t="s">
        <v>10</v>
      </c>
      <c r="B154" s="560">
        <v>6</v>
      </c>
      <c r="C154" s="599">
        <v>195</v>
      </c>
      <c r="D154" s="599">
        <v>5</v>
      </c>
      <c r="E154" s="599">
        <v>227.7</v>
      </c>
      <c r="F154" s="599">
        <v>0</v>
      </c>
      <c r="G154" s="599">
        <f>E154+C154</f>
        <v>422.7</v>
      </c>
      <c r="H154" s="599">
        <f>D154+F154</f>
        <v>5</v>
      </c>
      <c r="I154" s="599">
        <f>(H154/G154*100)</f>
        <v>1.1828720132481665</v>
      </c>
      <c r="J154" s="599">
        <v>160.5</v>
      </c>
      <c r="K154" s="599">
        <v>0</v>
      </c>
      <c r="L154" s="599">
        <f>(K154/J154*100)</f>
        <v>0</v>
      </c>
      <c r="M154" s="599">
        <v>1020.2</v>
      </c>
      <c r="N154" s="599">
        <v>70.39</v>
      </c>
      <c r="O154" s="599">
        <f>(N154/M154*100)</f>
        <v>6.8996275240148996</v>
      </c>
      <c r="P154" s="599">
        <f>G154+J154+M154</f>
        <v>1603.4</v>
      </c>
      <c r="Q154" s="599">
        <f>H154+K154+N154</f>
        <v>75.39</v>
      </c>
      <c r="R154" s="599">
        <f>(Q154/P154*100)</f>
        <v>4.7018834975676684</v>
      </c>
    </row>
    <row r="155" spans="1:18">
      <c r="A155" s="442" t="s">
        <v>502</v>
      </c>
      <c r="B155" s="442">
        <v>6</v>
      </c>
      <c r="C155" s="443">
        <f>SUM(C154)</f>
        <v>195</v>
      </c>
      <c r="D155" s="599">
        <f>D154</f>
        <v>5</v>
      </c>
      <c r="E155" s="599">
        <f>SUM(E154)</f>
        <v>227.7</v>
      </c>
      <c r="F155" s="599">
        <v>0</v>
      </c>
      <c r="G155" s="599">
        <f>SUM(G154)</f>
        <v>422.7</v>
      </c>
      <c r="H155" s="599">
        <f>D155+F155</f>
        <v>5</v>
      </c>
      <c r="I155" s="600">
        <f>(H155/G155*100)</f>
        <v>1.1828720132481665</v>
      </c>
      <c r="J155" s="599">
        <f>SUM(J154)</f>
        <v>160.5</v>
      </c>
      <c r="K155" s="599">
        <v>0</v>
      </c>
      <c r="L155" s="600">
        <f>(K155/J155*100)</f>
        <v>0</v>
      </c>
      <c r="M155" s="599">
        <f>SUM(M154)</f>
        <v>1020.2</v>
      </c>
      <c r="N155" s="599">
        <f>SUM(N154)</f>
        <v>70.39</v>
      </c>
      <c r="O155" s="600">
        <f>(N155/M155*100)</f>
        <v>6.8996275240148996</v>
      </c>
      <c r="P155" s="599">
        <f>SUM(P154)</f>
        <v>1603.4</v>
      </c>
      <c r="Q155" s="599">
        <f>H155+K155+N155</f>
        <v>75.39</v>
      </c>
      <c r="R155" s="600">
        <f>(Q155/P155*100)</f>
        <v>4.7018834975676684</v>
      </c>
    </row>
    <row r="156" spans="1:18">
      <c r="A156" s="442" t="s">
        <v>507</v>
      </c>
      <c r="B156" s="442">
        <v>3</v>
      </c>
      <c r="C156" s="443">
        <v>11.2</v>
      </c>
      <c r="D156" s="599">
        <v>0</v>
      </c>
      <c r="E156" s="599">
        <v>253.5</v>
      </c>
      <c r="F156" s="599">
        <v>16.91</v>
      </c>
      <c r="G156" s="599">
        <f>E156+C156</f>
        <v>264.7</v>
      </c>
      <c r="H156" s="599">
        <f>D156+F156</f>
        <v>16.91</v>
      </c>
      <c r="I156" s="600">
        <f>(H156/G156*100)</f>
        <v>6.3883641858707971</v>
      </c>
      <c r="J156" s="599">
        <v>16.25</v>
      </c>
      <c r="K156" s="599">
        <v>0</v>
      </c>
      <c r="L156" s="600">
        <f>(K156/J156*100)</f>
        <v>0</v>
      </c>
      <c r="M156" s="599">
        <v>155.65</v>
      </c>
      <c r="N156" s="599">
        <v>8</v>
      </c>
      <c r="O156" s="600">
        <f>(N156/M156*100)</f>
        <v>5.1397365884998392</v>
      </c>
      <c r="P156" s="599">
        <f>G156+J156+M156</f>
        <v>436.6</v>
      </c>
      <c r="Q156" s="599">
        <f>H156+K156+N156</f>
        <v>24.91</v>
      </c>
      <c r="R156" s="600">
        <f>(Q156/P156*100)</f>
        <v>5.70545121392579</v>
      </c>
    </row>
    <row r="157" spans="1:18">
      <c r="A157" s="442" t="s">
        <v>505</v>
      </c>
      <c r="B157" s="442">
        <v>9</v>
      </c>
      <c r="C157" s="443">
        <f t="shared" ref="C157:H157" si="42">SUM(C155:C156)</f>
        <v>206.2</v>
      </c>
      <c r="D157" s="599">
        <f t="shared" si="42"/>
        <v>5</v>
      </c>
      <c r="E157" s="599">
        <f t="shared" si="42"/>
        <v>481.2</v>
      </c>
      <c r="F157" s="599">
        <f t="shared" si="42"/>
        <v>16.91</v>
      </c>
      <c r="G157" s="599">
        <f t="shared" si="42"/>
        <v>687.4</v>
      </c>
      <c r="H157" s="599">
        <f t="shared" si="42"/>
        <v>21.91</v>
      </c>
      <c r="I157" s="600">
        <f>(H157/G157*100)</f>
        <v>3.1873727087576373</v>
      </c>
      <c r="J157" s="599">
        <f>SUM(J155:J156)</f>
        <v>176.75</v>
      </c>
      <c r="K157" s="599">
        <v>0</v>
      </c>
      <c r="L157" s="600">
        <f>(K157/J157*100)</f>
        <v>0</v>
      </c>
      <c r="M157" s="599">
        <f>SUM(M155:M156)</f>
        <v>1175.8500000000001</v>
      </c>
      <c r="N157" s="599">
        <f>SUM(N155:N156)</f>
        <v>78.39</v>
      </c>
      <c r="O157" s="600">
        <f>(N157/M157*100)</f>
        <v>6.666666666666667</v>
      </c>
      <c r="P157" s="599">
        <f>SUM(P155:P156)</f>
        <v>2040</v>
      </c>
      <c r="Q157" s="599">
        <f>H157+K157+N157</f>
        <v>100.3</v>
      </c>
      <c r="R157" s="600">
        <f>(Q157/P157*100)</f>
        <v>4.9166666666666661</v>
      </c>
    </row>
    <row r="158" spans="1:18">
      <c r="A158" s="563"/>
      <c r="B158" s="563"/>
      <c r="C158" s="610"/>
      <c r="D158" s="579"/>
      <c r="E158" s="579"/>
      <c r="F158" s="579"/>
      <c r="G158" s="567"/>
      <c r="H158" s="567"/>
      <c r="I158" s="609"/>
      <c r="J158" s="567"/>
      <c r="K158" s="567"/>
      <c r="L158" s="609"/>
      <c r="M158" s="567"/>
      <c r="N158" s="567"/>
      <c r="O158" s="609"/>
      <c r="P158" s="567"/>
      <c r="Q158" s="567"/>
      <c r="R158" s="609"/>
    </row>
    <row r="159" spans="1:18">
      <c r="A159" s="574"/>
      <c r="B159" s="574"/>
      <c r="C159" s="610"/>
      <c r="D159" s="579"/>
      <c r="E159" s="579"/>
      <c r="F159" s="579"/>
      <c r="G159" s="567"/>
      <c r="H159" s="567"/>
      <c r="I159" s="609"/>
      <c r="J159" s="567"/>
      <c r="K159" s="567"/>
      <c r="L159" s="609"/>
      <c r="M159" s="567"/>
      <c r="N159" s="567"/>
      <c r="O159" s="609"/>
      <c r="P159" s="567"/>
      <c r="Q159" s="567"/>
      <c r="R159" s="609"/>
    </row>
    <row r="160" spans="1:18">
      <c r="A160" s="606" t="s">
        <v>537</v>
      </c>
      <c r="B160" s="624" t="s">
        <v>397</v>
      </c>
      <c r="C160" s="624"/>
      <c r="D160" s="1626" t="s">
        <v>549</v>
      </c>
      <c r="E160" s="1626"/>
      <c r="F160" s="1626"/>
      <c r="G160" s="1626"/>
      <c r="H160" s="1626"/>
      <c r="I160" s="1626"/>
      <c r="J160" s="1626"/>
      <c r="K160" s="1626"/>
      <c r="L160" s="1626"/>
      <c r="M160" s="1626"/>
      <c r="N160" s="1626"/>
      <c r="O160" s="1626"/>
      <c r="P160" s="1626"/>
      <c r="Q160" s="1626"/>
      <c r="R160" s="1626"/>
    </row>
    <row r="161" spans="1:18">
      <c r="A161" s="1621" t="s">
        <v>500</v>
      </c>
      <c r="B161" s="1622" t="s">
        <v>501</v>
      </c>
      <c r="C161" s="1622" t="s">
        <v>484</v>
      </c>
      <c r="D161" s="1622"/>
      <c r="E161" s="1622" t="s">
        <v>485</v>
      </c>
      <c r="F161" s="1622"/>
      <c r="G161" s="1625" t="s">
        <v>486</v>
      </c>
      <c r="H161" s="1625"/>
      <c r="I161" s="1625"/>
      <c r="J161" s="1625" t="s">
        <v>487</v>
      </c>
      <c r="K161" s="1625"/>
      <c r="L161" s="1625"/>
      <c r="M161" s="1625" t="s">
        <v>488</v>
      </c>
      <c r="N161" s="1625"/>
      <c r="O161" s="1625"/>
      <c r="P161" s="1625" t="s">
        <v>489</v>
      </c>
      <c r="Q161" s="1625"/>
      <c r="R161" s="1625"/>
    </row>
    <row r="162" spans="1:18">
      <c r="A162" s="1621"/>
      <c r="B162" s="1622"/>
      <c r="C162" s="597" t="s">
        <v>530</v>
      </c>
      <c r="D162" s="441" t="s">
        <v>531</v>
      </c>
      <c r="E162" s="441" t="s">
        <v>490</v>
      </c>
      <c r="F162" s="441" t="s">
        <v>531</v>
      </c>
      <c r="G162" s="441" t="s">
        <v>490</v>
      </c>
      <c r="H162" s="441" t="s">
        <v>531</v>
      </c>
      <c r="I162" s="1042" t="s">
        <v>532</v>
      </c>
      <c r="J162" s="441" t="s">
        <v>490</v>
      </c>
      <c r="K162" s="441" t="s">
        <v>531</v>
      </c>
      <c r="L162" s="1042" t="s">
        <v>532</v>
      </c>
      <c r="M162" s="441" t="s">
        <v>490</v>
      </c>
      <c r="N162" s="441" t="s">
        <v>531</v>
      </c>
      <c r="O162" s="1042" t="s">
        <v>532</v>
      </c>
      <c r="P162" s="441" t="s">
        <v>490</v>
      </c>
      <c r="Q162" s="441" t="s">
        <v>531</v>
      </c>
      <c r="R162" s="1042" t="s">
        <v>532</v>
      </c>
    </row>
    <row r="163" spans="1:18">
      <c r="A163" s="560" t="s">
        <v>10</v>
      </c>
      <c r="B163" s="560">
        <v>2</v>
      </c>
      <c r="C163" s="599">
        <v>65</v>
      </c>
      <c r="D163" s="599">
        <v>12.81</v>
      </c>
      <c r="E163" s="599">
        <v>75.900000000000006</v>
      </c>
      <c r="F163" s="599">
        <v>23.25</v>
      </c>
      <c r="G163" s="599">
        <f>E163+C163</f>
        <v>140.9</v>
      </c>
      <c r="H163" s="599">
        <f>D163+F163</f>
        <v>36.06</v>
      </c>
      <c r="I163" s="599">
        <f>(H163/G163*100)</f>
        <v>25.592618878637332</v>
      </c>
      <c r="J163" s="599">
        <v>53.5</v>
      </c>
      <c r="K163" s="599">
        <v>1.8</v>
      </c>
      <c r="L163" s="599">
        <f>(K163/J163*100)</f>
        <v>3.3644859813084111</v>
      </c>
      <c r="M163" s="599">
        <v>340</v>
      </c>
      <c r="N163" s="599">
        <v>195.7</v>
      </c>
      <c r="O163" s="599">
        <f>(N163/M163*100)</f>
        <v>57.558823529411761</v>
      </c>
      <c r="P163" s="599">
        <f>G163+J163+M163</f>
        <v>534.4</v>
      </c>
      <c r="Q163" s="599">
        <f>H163+K163+N163</f>
        <v>233.56</v>
      </c>
      <c r="R163" s="599">
        <f>(Q163/P163*100)</f>
        <v>43.705089820359284</v>
      </c>
    </row>
    <row r="164" spans="1:18">
      <c r="A164" s="442" t="s">
        <v>502</v>
      </c>
      <c r="B164" s="442">
        <f>SUM(B163)</f>
        <v>2</v>
      </c>
      <c r="C164" s="443">
        <f>SUM(C163)</f>
        <v>65</v>
      </c>
      <c r="D164" s="599">
        <f>D163</f>
        <v>12.81</v>
      </c>
      <c r="E164" s="599">
        <f>SUM(E163)</f>
        <v>75.900000000000006</v>
      </c>
      <c r="F164" s="599">
        <f>SUM(F163)</f>
        <v>23.25</v>
      </c>
      <c r="G164" s="599">
        <f>E164+C164</f>
        <v>140.9</v>
      </c>
      <c r="H164" s="599">
        <f>D164+F164</f>
        <v>36.06</v>
      </c>
      <c r="I164" s="600">
        <f>(H164/G164*100)</f>
        <v>25.592618878637332</v>
      </c>
      <c r="J164" s="599">
        <f>SUM(J163)</f>
        <v>53.5</v>
      </c>
      <c r="K164" s="599">
        <f>SUM(K163)</f>
        <v>1.8</v>
      </c>
      <c r="L164" s="600">
        <f>(K164/J164*100)</f>
        <v>3.3644859813084111</v>
      </c>
      <c r="M164" s="599">
        <f>SUM(M163)</f>
        <v>340</v>
      </c>
      <c r="N164" s="599">
        <f>SUM(N163)</f>
        <v>195.7</v>
      </c>
      <c r="O164" s="600">
        <f>(N164/M164*100)</f>
        <v>57.558823529411761</v>
      </c>
      <c r="P164" s="599">
        <f>SUM(P163)</f>
        <v>534.4</v>
      </c>
      <c r="Q164" s="599">
        <f>H164+K164+N164</f>
        <v>233.56</v>
      </c>
      <c r="R164" s="600">
        <f>(Q164/P164*100)</f>
        <v>43.705089820359284</v>
      </c>
    </row>
    <row r="165" spans="1:18">
      <c r="A165" s="442" t="s">
        <v>507</v>
      </c>
      <c r="B165" s="442">
        <v>2</v>
      </c>
      <c r="C165" s="443">
        <v>7.5</v>
      </c>
      <c r="D165" s="599">
        <v>0</v>
      </c>
      <c r="E165" s="599">
        <v>169</v>
      </c>
      <c r="F165" s="599">
        <v>85.25</v>
      </c>
      <c r="G165" s="599">
        <f>E165+C165</f>
        <v>176.5</v>
      </c>
      <c r="H165" s="599">
        <f>D165+F165</f>
        <v>85.25</v>
      </c>
      <c r="I165" s="600">
        <f>(H165/G165*100)</f>
        <v>48.300283286118976</v>
      </c>
      <c r="J165" s="599">
        <v>10.85</v>
      </c>
      <c r="K165" s="599">
        <v>0</v>
      </c>
      <c r="L165" s="600">
        <f>(K165/J165*100)</f>
        <v>0</v>
      </c>
      <c r="M165" s="599">
        <v>103.8</v>
      </c>
      <c r="N165" s="599">
        <v>20.56</v>
      </c>
      <c r="O165" s="600">
        <f>(N165/M165*100)</f>
        <v>19.807321772639693</v>
      </c>
      <c r="P165" s="599">
        <f>G165+J165+M165</f>
        <v>291.14999999999998</v>
      </c>
      <c r="Q165" s="599">
        <f>H165+K165+N165</f>
        <v>105.81</v>
      </c>
      <c r="R165" s="600">
        <f>(Q165/P165*100)</f>
        <v>36.342091705306544</v>
      </c>
    </row>
    <row r="166" spans="1:18">
      <c r="A166" s="442" t="s">
        <v>505</v>
      </c>
      <c r="B166" s="442">
        <f>SUM(B164:B165)</f>
        <v>4</v>
      </c>
      <c r="C166" s="443">
        <f>SUM(C164:C165)</f>
        <v>72.5</v>
      </c>
      <c r="D166" s="599">
        <f>SUM(D164:D165)</f>
        <v>12.81</v>
      </c>
      <c r="E166" s="599">
        <f>SUM(E164:E165)</f>
        <v>244.9</v>
      </c>
      <c r="F166" s="599">
        <f>SUM(F164:F165)</f>
        <v>108.5</v>
      </c>
      <c r="G166" s="599">
        <f>E166+C166</f>
        <v>317.39999999999998</v>
      </c>
      <c r="H166" s="599">
        <f>F166+D166</f>
        <v>121.31</v>
      </c>
      <c r="I166" s="600">
        <f>(H166/G166*100)</f>
        <v>38.219911783238821</v>
      </c>
      <c r="J166" s="599">
        <f>SUM(J164:J165)</f>
        <v>64.349999999999994</v>
      </c>
      <c r="K166" s="599">
        <f>SUM(K164:K165)</f>
        <v>1.8</v>
      </c>
      <c r="L166" s="600">
        <f>(K166/J166*100)</f>
        <v>2.7972027972027975</v>
      </c>
      <c r="M166" s="599">
        <f>SUM(M164:M165)</f>
        <v>443.8</v>
      </c>
      <c r="N166" s="599">
        <f>SUM(N164:N165)</f>
        <v>216.26</v>
      </c>
      <c r="O166" s="600">
        <f>(N166/M166*100)</f>
        <v>48.729157278053172</v>
      </c>
      <c r="P166" s="599">
        <f>SUM(P164:P165)</f>
        <v>825.55</v>
      </c>
      <c r="Q166" s="599">
        <f>H166+K166+N166</f>
        <v>339.37</v>
      </c>
      <c r="R166" s="600">
        <f>(Q166/P166*100)</f>
        <v>41.108352007752408</v>
      </c>
    </row>
    <row r="167" spans="1:18">
      <c r="A167" s="574"/>
      <c r="B167" s="574"/>
      <c r="C167" s="580"/>
      <c r="D167" s="567"/>
      <c r="E167" s="567"/>
      <c r="F167" s="567"/>
      <c r="G167" s="567"/>
      <c r="H167" s="567"/>
      <c r="I167" s="609"/>
      <c r="J167" s="567"/>
      <c r="K167" s="567"/>
      <c r="L167" s="609"/>
      <c r="M167" s="567"/>
      <c r="N167" s="567"/>
      <c r="O167" s="609"/>
      <c r="P167" s="567"/>
      <c r="Q167" s="567"/>
      <c r="R167" s="609"/>
    </row>
    <row r="168" spans="1:18">
      <c r="A168" s="568"/>
      <c r="B168" s="568"/>
      <c r="C168" s="611"/>
      <c r="D168" s="569"/>
      <c r="E168" s="569"/>
      <c r="F168" s="569"/>
      <c r="G168" s="570"/>
      <c r="H168" s="570"/>
      <c r="I168" s="612"/>
      <c r="J168" s="570"/>
      <c r="K168" s="570"/>
      <c r="L168" s="612"/>
      <c r="M168" s="570"/>
      <c r="N168" s="570"/>
      <c r="O168" s="612"/>
      <c r="P168" s="570"/>
      <c r="Q168" s="570"/>
      <c r="R168" s="612"/>
    </row>
    <row r="169" spans="1:18" s="741" customFormat="1">
      <c r="A169" s="568"/>
      <c r="B169" s="568"/>
      <c r="C169" s="611"/>
      <c r="D169" s="569"/>
      <c r="E169" s="569"/>
      <c r="F169" s="569"/>
      <c r="G169" s="570"/>
      <c r="H169" s="570"/>
      <c r="I169" s="612"/>
      <c r="J169" s="570"/>
      <c r="K169" s="570"/>
      <c r="L169" s="612"/>
      <c r="M169" s="570"/>
      <c r="N169" s="570"/>
      <c r="O169" s="612"/>
      <c r="P169" s="570"/>
      <c r="Q169" s="570"/>
      <c r="R169" s="612"/>
    </row>
    <row r="170" spans="1:18" s="741" customFormat="1">
      <c r="A170" s="568"/>
      <c r="B170" s="568"/>
      <c r="C170" s="611"/>
      <c r="D170" s="569"/>
      <c r="E170" s="569"/>
      <c r="F170" s="569"/>
      <c r="G170" s="570"/>
      <c r="H170" s="570"/>
      <c r="I170" s="612"/>
      <c r="J170" s="570"/>
      <c r="K170" s="570"/>
      <c r="L170" s="612"/>
      <c r="M170" s="570"/>
      <c r="N170" s="570"/>
      <c r="O170" s="612"/>
      <c r="P170" s="570"/>
      <c r="Q170" s="570"/>
      <c r="R170" s="612"/>
    </row>
    <row r="171" spans="1:18">
      <c r="A171" s="568"/>
      <c r="B171" s="568"/>
      <c r="C171" s="611"/>
      <c r="D171" s="569"/>
      <c r="E171" s="569"/>
      <c r="F171" s="569"/>
      <c r="G171" s="570"/>
      <c r="H171" s="570"/>
      <c r="I171" s="612"/>
      <c r="J171" s="570"/>
      <c r="K171" s="570"/>
      <c r="L171" s="612"/>
      <c r="M171" s="570"/>
      <c r="N171" s="570"/>
      <c r="O171" s="612"/>
      <c r="P171" s="570"/>
      <c r="Q171" s="570"/>
      <c r="R171" s="612"/>
    </row>
    <row r="172" spans="1:18">
      <c r="A172" s="568"/>
      <c r="B172" s="568"/>
      <c r="C172" s="611"/>
      <c r="D172" s="569"/>
      <c r="E172" s="569"/>
      <c r="F172" s="569"/>
      <c r="G172" s="570"/>
      <c r="H172" s="570"/>
      <c r="I172" s="612"/>
      <c r="J172" s="570"/>
      <c r="K172" s="570"/>
      <c r="L172" s="612"/>
      <c r="M172" s="570"/>
      <c r="N172" s="570"/>
      <c r="O172" s="612"/>
      <c r="P172" s="570"/>
      <c r="Q172" s="570"/>
      <c r="R172" s="612"/>
    </row>
    <row r="173" spans="1:18" ht="15.75">
      <c r="A173" s="1628">
        <v>49</v>
      </c>
      <c r="B173" s="1628"/>
      <c r="C173" s="1628"/>
      <c r="D173" s="1628"/>
      <c r="E173" s="1628"/>
      <c r="F173" s="1628"/>
      <c r="G173" s="1628"/>
      <c r="H173" s="1628"/>
      <c r="I173" s="1628"/>
      <c r="J173" s="1628"/>
      <c r="K173" s="1628"/>
      <c r="L173" s="1628"/>
      <c r="M173" s="1628"/>
      <c r="N173" s="1628"/>
      <c r="O173" s="1628"/>
      <c r="P173" s="1628"/>
      <c r="Q173" s="1628"/>
      <c r="R173" s="1628"/>
    </row>
    <row r="174" spans="1:18">
      <c r="A174" s="606" t="s">
        <v>537</v>
      </c>
      <c r="B174" s="624" t="s">
        <v>550</v>
      </c>
      <c r="C174" s="624"/>
      <c r="D174" s="577" t="s">
        <v>549</v>
      </c>
      <c r="E174" s="577"/>
      <c r="F174" s="577"/>
      <c r="G174" s="577"/>
      <c r="H174" s="577"/>
      <c r="I174" s="577"/>
      <c r="J174" s="577"/>
      <c r="K174" s="577"/>
      <c r="L174" s="577"/>
      <c r="M174" s="577"/>
      <c r="N174" s="577"/>
      <c r="O174" s="577"/>
      <c r="P174" s="577"/>
      <c r="Q174" s="1627" t="s">
        <v>315</v>
      </c>
      <c r="R174" s="1627"/>
    </row>
    <row r="175" spans="1:18">
      <c r="A175" s="1621" t="s">
        <v>500</v>
      </c>
      <c r="B175" s="1622" t="s">
        <v>501</v>
      </c>
      <c r="C175" s="1622" t="s">
        <v>484</v>
      </c>
      <c r="D175" s="1622"/>
      <c r="E175" s="1622" t="s">
        <v>485</v>
      </c>
      <c r="F175" s="1622"/>
      <c r="G175" s="1625" t="s">
        <v>486</v>
      </c>
      <c r="H175" s="1625"/>
      <c r="I175" s="1625"/>
      <c r="J175" s="1625" t="s">
        <v>487</v>
      </c>
      <c r="K175" s="1625"/>
      <c r="L175" s="1625"/>
      <c r="M175" s="1625" t="s">
        <v>488</v>
      </c>
      <c r="N175" s="1625"/>
      <c r="O175" s="1625"/>
      <c r="P175" s="1625" t="s">
        <v>489</v>
      </c>
      <c r="Q175" s="1625"/>
      <c r="R175" s="1625"/>
    </row>
    <row r="176" spans="1:18">
      <c r="A176" s="1621"/>
      <c r="B176" s="1622"/>
      <c r="C176" s="597" t="s">
        <v>530</v>
      </c>
      <c r="D176" s="441" t="s">
        <v>531</v>
      </c>
      <c r="E176" s="441" t="s">
        <v>490</v>
      </c>
      <c r="F176" s="441" t="s">
        <v>531</v>
      </c>
      <c r="G176" s="441" t="s">
        <v>490</v>
      </c>
      <c r="H176" s="441" t="s">
        <v>531</v>
      </c>
      <c r="I176" s="1042" t="s">
        <v>532</v>
      </c>
      <c r="J176" s="441" t="s">
        <v>490</v>
      </c>
      <c r="K176" s="441" t="s">
        <v>531</v>
      </c>
      <c r="L176" s="1042" t="s">
        <v>532</v>
      </c>
      <c r="M176" s="441" t="s">
        <v>490</v>
      </c>
      <c r="N176" s="441" t="s">
        <v>531</v>
      </c>
      <c r="O176" s="1042" t="s">
        <v>532</v>
      </c>
      <c r="P176" s="441" t="s">
        <v>490</v>
      </c>
      <c r="Q176" s="441" t="s">
        <v>531</v>
      </c>
      <c r="R176" s="1042" t="s">
        <v>532</v>
      </c>
    </row>
    <row r="177" spans="1:18">
      <c r="A177" s="560" t="s">
        <v>10</v>
      </c>
      <c r="B177" s="560">
        <v>3</v>
      </c>
      <c r="C177" s="599">
        <v>97</v>
      </c>
      <c r="D177" s="599">
        <v>0</v>
      </c>
      <c r="E177" s="599">
        <v>113.9</v>
      </c>
      <c r="F177" s="599">
        <v>0</v>
      </c>
      <c r="G177" s="599">
        <f>E177+C177</f>
        <v>210.9</v>
      </c>
      <c r="H177" s="599">
        <v>0</v>
      </c>
      <c r="I177" s="599">
        <f>(H177/G177*100)</f>
        <v>0</v>
      </c>
      <c r="J177" s="599">
        <v>80.2</v>
      </c>
      <c r="K177" s="599">
        <v>0</v>
      </c>
      <c r="L177" s="599">
        <f>(K177/J177*100)</f>
        <v>0</v>
      </c>
      <c r="M177" s="599">
        <v>510</v>
      </c>
      <c r="N177" s="599">
        <v>1.9</v>
      </c>
      <c r="O177" s="599">
        <f>(N177/M177*100)</f>
        <v>0.37254901960784315</v>
      </c>
      <c r="P177" s="599">
        <f>G177+J177+M177</f>
        <v>801.1</v>
      </c>
      <c r="Q177" s="599">
        <f>H177+K177+N177</f>
        <v>1.9</v>
      </c>
      <c r="R177" s="599">
        <f>(Q177/P177*100)</f>
        <v>0.23717388590687802</v>
      </c>
    </row>
    <row r="178" spans="1:18">
      <c r="A178" s="442" t="s">
        <v>502</v>
      </c>
      <c r="B178" s="442">
        <f>SUM(B177)</f>
        <v>3</v>
      </c>
      <c r="C178" s="443">
        <f>SUM(C177)</f>
        <v>97</v>
      </c>
      <c r="D178" s="599">
        <v>0</v>
      </c>
      <c r="E178" s="599">
        <f>SUM(E177)</f>
        <v>113.9</v>
      </c>
      <c r="F178" s="599">
        <v>0</v>
      </c>
      <c r="G178" s="599">
        <f>E178+C178</f>
        <v>210.9</v>
      </c>
      <c r="H178" s="599">
        <v>0</v>
      </c>
      <c r="I178" s="600">
        <f>(H178/G178*100)</f>
        <v>0</v>
      </c>
      <c r="J178" s="599">
        <f>SUM(J177)</f>
        <v>80.2</v>
      </c>
      <c r="K178" s="599">
        <v>0</v>
      </c>
      <c r="L178" s="600">
        <f>(K178/J178*100)</f>
        <v>0</v>
      </c>
      <c r="M178" s="599">
        <f>SUM(M177)</f>
        <v>510</v>
      </c>
      <c r="N178" s="599">
        <v>1.9</v>
      </c>
      <c r="O178" s="600">
        <f>(N178/M178*100)</f>
        <v>0.37254901960784315</v>
      </c>
      <c r="P178" s="599">
        <f>G178+J178+M178</f>
        <v>801.1</v>
      </c>
      <c r="Q178" s="599">
        <f>H178+K178+N178</f>
        <v>1.9</v>
      </c>
      <c r="R178" s="600">
        <f>(Q178/P178*100)</f>
        <v>0.23717388590687802</v>
      </c>
    </row>
    <row r="179" spans="1:18">
      <c r="A179" s="563"/>
      <c r="B179" s="563"/>
      <c r="C179" s="601"/>
      <c r="D179" s="564"/>
      <c r="E179" s="565"/>
      <c r="F179" s="565"/>
      <c r="G179" s="565"/>
      <c r="H179" s="565"/>
      <c r="I179" s="603"/>
      <c r="J179" s="565"/>
      <c r="K179" s="565"/>
      <c r="L179" s="603"/>
      <c r="M179" s="565"/>
      <c r="N179" s="565"/>
      <c r="O179" s="603"/>
      <c r="P179" s="565"/>
      <c r="Q179" s="565"/>
      <c r="R179" s="603"/>
    </row>
    <row r="180" spans="1:18">
      <c r="A180" s="606" t="s">
        <v>539</v>
      </c>
      <c r="B180" s="625" t="s">
        <v>551</v>
      </c>
      <c r="C180" s="624"/>
      <c r="D180" s="1626" t="s">
        <v>552</v>
      </c>
      <c r="E180" s="1626"/>
      <c r="F180" s="1626"/>
      <c r="G180" s="1626"/>
      <c r="H180" s="1626"/>
      <c r="I180" s="1626"/>
      <c r="J180" s="1626"/>
      <c r="K180" s="1626"/>
      <c r="L180" s="1626"/>
      <c r="M180" s="1626"/>
      <c r="N180" s="1626"/>
      <c r="O180" s="1626"/>
      <c r="P180" s="1626"/>
      <c r="Q180" s="1626"/>
      <c r="R180" s="1626"/>
    </row>
    <row r="181" spans="1:18">
      <c r="A181" s="1621" t="s">
        <v>500</v>
      </c>
      <c r="B181" s="1622" t="s">
        <v>510</v>
      </c>
      <c r="C181" s="1622" t="s">
        <v>484</v>
      </c>
      <c r="D181" s="1622"/>
      <c r="E181" s="1622" t="s">
        <v>485</v>
      </c>
      <c r="F181" s="1622"/>
      <c r="G181" s="1625" t="s">
        <v>486</v>
      </c>
      <c r="H181" s="1625"/>
      <c r="I181" s="1625"/>
      <c r="J181" s="1625" t="s">
        <v>487</v>
      </c>
      <c r="K181" s="1625"/>
      <c r="L181" s="1625"/>
      <c r="M181" s="1625" t="s">
        <v>488</v>
      </c>
      <c r="N181" s="1625"/>
      <c r="O181" s="1625"/>
      <c r="P181" s="1625" t="s">
        <v>489</v>
      </c>
      <c r="Q181" s="1625"/>
      <c r="R181" s="1625"/>
    </row>
    <row r="182" spans="1:18">
      <c r="A182" s="1621"/>
      <c r="B182" s="1622"/>
      <c r="C182" s="597" t="s">
        <v>530</v>
      </c>
      <c r="D182" s="441" t="s">
        <v>531</v>
      </c>
      <c r="E182" s="441" t="s">
        <v>490</v>
      </c>
      <c r="F182" s="441" t="s">
        <v>531</v>
      </c>
      <c r="G182" s="441" t="s">
        <v>490</v>
      </c>
      <c r="H182" s="441" t="s">
        <v>531</v>
      </c>
      <c r="I182" s="1042" t="s">
        <v>532</v>
      </c>
      <c r="J182" s="441" t="s">
        <v>490</v>
      </c>
      <c r="K182" s="441" t="s">
        <v>531</v>
      </c>
      <c r="L182" s="1042" t="s">
        <v>532</v>
      </c>
      <c r="M182" s="441" t="s">
        <v>490</v>
      </c>
      <c r="N182" s="441" t="s">
        <v>531</v>
      </c>
      <c r="O182" s="1042" t="s">
        <v>532</v>
      </c>
      <c r="P182" s="441" t="s">
        <v>490</v>
      </c>
      <c r="Q182" s="441" t="s">
        <v>531</v>
      </c>
      <c r="R182" s="1042" t="s">
        <v>532</v>
      </c>
    </row>
    <row r="183" spans="1:18">
      <c r="A183" s="1371" t="s">
        <v>10</v>
      </c>
      <c r="B183" s="1371">
        <v>9</v>
      </c>
      <c r="C183" s="1372">
        <v>250</v>
      </c>
      <c r="D183" s="1372">
        <v>0.32</v>
      </c>
      <c r="E183" s="1372">
        <v>282.3</v>
      </c>
      <c r="F183" s="1372">
        <v>0</v>
      </c>
      <c r="G183" s="1372">
        <f>E183+C183</f>
        <v>532.29999999999995</v>
      </c>
      <c r="H183" s="1372">
        <f>D183+F183</f>
        <v>0.32</v>
      </c>
      <c r="I183" s="1372">
        <f>H183/G183%</f>
        <v>6.011647567161376E-2</v>
      </c>
      <c r="J183" s="1372">
        <v>214</v>
      </c>
      <c r="K183" s="1372">
        <v>288.23</v>
      </c>
      <c r="L183" s="1372">
        <f>K183/J183%</f>
        <v>134.68691588785046</v>
      </c>
      <c r="M183" s="1372">
        <v>1435</v>
      </c>
      <c r="N183" s="1372">
        <v>883.4</v>
      </c>
      <c r="O183" s="1372">
        <f>N183/M183%</f>
        <v>61.560975609756099</v>
      </c>
      <c r="P183" s="1372">
        <f>G183+J183+M183</f>
        <v>2181.3000000000002</v>
      </c>
      <c r="Q183" s="1372">
        <f>H183+K183+N183</f>
        <v>1171.95</v>
      </c>
      <c r="R183" s="1372">
        <f>Q183/P183%</f>
        <v>53.727135194608714</v>
      </c>
    </row>
    <row r="184" spans="1:18">
      <c r="A184" s="1371" t="s">
        <v>17</v>
      </c>
      <c r="B184" s="1371">
        <v>1</v>
      </c>
      <c r="C184" s="1372">
        <v>46</v>
      </c>
      <c r="D184" s="1372">
        <v>8</v>
      </c>
      <c r="E184" s="1372">
        <v>48.5</v>
      </c>
      <c r="F184" s="1372">
        <v>0</v>
      </c>
      <c r="G184" s="1372">
        <f t="shared" ref="G184:G210" si="43">E184+C184</f>
        <v>94.5</v>
      </c>
      <c r="H184" s="1372">
        <f t="shared" ref="H184:H210" si="44">D184+F184</f>
        <v>8</v>
      </c>
      <c r="I184" s="1372">
        <f t="shared" ref="I184:I210" si="45">H184/G184%</f>
        <v>8.4656084656084669</v>
      </c>
      <c r="J184" s="1372">
        <v>20.440000000000001</v>
      </c>
      <c r="K184" s="1372">
        <v>0</v>
      </c>
      <c r="L184" s="1372">
        <f t="shared" ref="L184:L210" si="46">K184/J184%</f>
        <v>0</v>
      </c>
      <c r="M184" s="1372">
        <v>49.15</v>
      </c>
      <c r="N184" s="1372">
        <v>22</v>
      </c>
      <c r="O184" s="1372">
        <f t="shared" ref="O184:O210" si="47">N184/M184%</f>
        <v>44.760935910478132</v>
      </c>
      <c r="P184" s="1372">
        <f t="shared" ref="P184:Q210" si="48">G184+J184+M184</f>
        <v>164.09</v>
      </c>
      <c r="Q184" s="1372">
        <f t="shared" si="48"/>
        <v>30</v>
      </c>
      <c r="R184" s="1372">
        <f t="shared" ref="R184:R210" si="49">Q184/P184%</f>
        <v>18.282649765372661</v>
      </c>
    </row>
    <row r="185" spans="1:18">
      <c r="A185" s="1371" t="s">
        <v>491</v>
      </c>
      <c r="B185" s="1371">
        <v>2</v>
      </c>
      <c r="C185" s="1372">
        <v>148.30000000000001</v>
      </c>
      <c r="D185" s="1372">
        <v>49</v>
      </c>
      <c r="E185" s="1372">
        <v>500.7</v>
      </c>
      <c r="F185" s="1372">
        <v>385.83</v>
      </c>
      <c r="G185" s="1372">
        <f t="shared" si="43"/>
        <v>649</v>
      </c>
      <c r="H185" s="1372">
        <f t="shared" si="44"/>
        <v>434.83</v>
      </c>
      <c r="I185" s="1372">
        <f t="shared" si="45"/>
        <v>67</v>
      </c>
      <c r="J185" s="1372">
        <v>566</v>
      </c>
      <c r="K185" s="1372">
        <v>35</v>
      </c>
      <c r="L185" s="1372">
        <f t="shared" si="46"/>
        <v>6.1837455830388688</v>
      </c>
      <c r="M185" s="1372">
        <v>1593</v>
      </c>
      <c r="N185" s="1372">
        <v>227</v>
      </c>
      <c r="O185" s="1372">
        <f t="shared" si="47"/>
        <v>14.249843063402386</v>
      </c>
      <c r="P185" s="1372">
        <f t="shared" si="48"/>
        <v>2808</v>
      </c>
      <c r="Q185" s="1372">
        <f t="shared" si="48"/>
        <v>696.82999999999993</v>
      </c>
      <c r="R185" s="1372">
        <f t="shared" si="49"/>
        <v>24.815883190883191</v>
      </c>
    </row>
    <row r="186" spans="1:18">
      <c r="A186" s="1371" t="s">
        <v>35</v>
      </c>
      <c r="B186" s="1371">
        <v>2</v>
      </c>
      <c r="C186" s="1372">
        <v>77.650000000000006</v>
      </c>
      <c r="D186" s="1372">
        <v>2.9</v>
      </c>
      <c r="E186" s="1372">
        <v>126.1</v>
      </c>
      <c r="F186" s="1372">
        <v>6.84</v>
      </c>
      <c r="G186" s="1372">
        <f t="shared" si="43"/>
        <v>203.75</v>
      </c>
      <c r="H186" s="1372">
        <f t="shared" si="44"/>
        <v>9.74</v>
      </c>
      <c r="I186" s="1372">
        <f t="shared" si="45"/>
        <v>4.7803680981595091</v>
      </c>
      <c r="J186" s="1372">
        <v>74.099999999999994</v>
      </c>
      <c r="K186" s="1372">
        <v>0</v>
      </c>
      <c r="L186" s="1372">
        <f t="shared" si="46"/>
        <v>0</v>
      </c>
      <c r="M186" s="1372">
        <v>612.04999999999995</v>
      </c>
      <c r="N186" s="1372">
        <v>144.03</v>
      </c>
      <c r="O186" s="1372">
        <f t="shared" si="47"/>
        <v>23.532391144514339</v>
      </c>
      <c r="P186" s="1372">
        <f t="shared" si="48"/>
        <v>889.9</v>
      </c>
      <c r="Q186" s="1372">
        <f t="shared" si="48"/>
        <v>153.77000000000001</v>
      </c>
      <c r="R186" s="1372">
        <f t="shared" si="49"/>
        <v>17.27946960332622</v>
      </c>
    </row>
    <row r="187" spans="1:18">
      <c r="A187" s="1371" t="s">
        <v>492</v>
      </c>
      <c r="B187" s="1371">
        <v>1</v>
      </c>
      <c r="C187" s="1372">
        <v>30</v>
      </c>
      <c r="D187" s="1372">
        <v>0</v>
      </c>
      <c r="E187" s="1372">
        <v>8</v>
      </c>
      <c r="F187" s="1372">
        <v>10</v>
      </c>
      <c r="G187" s="1372">
        <f t="shared" si="43"/>
        <v>38</v>
      </c>
      <c r="H187" s="1372">
        <f t="shared" si="44"/>
        <v>10</v>
      </c>
      <c r="I187" s="1372">
        <f t="shared" si="45"/>
        <v>26.315789473684209</v>
      </c>
      <c r="J187" s="1372">
        <v>56.8</v>
      </c>
      <c r="K187" s="1372">
        <v>0</v>
      </c>
      <c r="L187" s="1372">
        <f t="shared" si="46"/>
        <v>0</v>
      </c>
      <c r="M187" s="1372">
        <v>176.4</v>
      </c>
      <c r="N187" s="1372">
        <v>26.08</v>
      </c>
      <c r="O187" s="1372">
        <f t="shared" si="47"/>
        <v>14.784580498866212</v>
      </c>
      <c r="P187" s="1372">
        <f t="shared" si="48"/>
        <v>271.2</v>
      </c>
      <c r="Q187" s="1372">
        <f t="shared" si="48"/>
        <v>36.08</v>
      </c>
      <c r="R187" s="1372">
        <f t="shared" si="49"/>
        <v>13.303834808259587</v>
      </c>
    </row>
    <row r="188" spans="1:18">
      <c r="A188" s="1371" t="s">
        <v>23</v>
      </c>
      <c r="B188" s="1371">
        <v>3</v>
      </c>
      <c r="C188" s="1371">
        <v>151.35</v>
      </c>
      <c r="D188" s="1372">
        <v>0</v>
      </c>
      <c r="E188" s="1372">
        <v>520.04999999999995</v>
      </c>
      <c r="F188" s="1372">
        <v>1115</v>
      </c>
      <c r="G188" s="1372">
        <f t="shared" si="43"/>
        <v>671.4</v>
      </c>
      <c r="H188" s="1372">
        <f t="shared" si="44"/>
        <v>1115</v>
      </c>
      <c r="I188" s="1372">
        <f t="shared" si="45"/>
        <v>166.07089663389934</v>
      </c>
      <c r="J188" s="1372">
        <v>545.79999999999995</v>
      </c>
      <c r="K188" s="1372">
        <v>2553.0300000000002</v>
      </c>
      <c r="L188" s="1372">
        <f t="shared" si="46"/>
        <v>467.75925247343361</v>
      </c>
      <c r="M188" s="1372">
        <v>1573</v>
      </c>
      <c r="N188" s="1372">
        <v>2598.44</v>
      </c>
      <c r="O188" s="1372">
        <f t="shared" si="47"/>
        <v>165.19008264462809</v>
      </c>
      <c r="P188" s="1372">
        <f t="shared" si="48"/>
        <v>2790.2</v>
      </c>
      <c r="Q188" s="1372">
        <f t="shared" si="48"/>
        <v>6266.47</v>
      </c>
      <c r="R188" s="1372">
        <f t="shared" si="49"/>
        <v>224.58855995985954</v>
      </c>
    </row>
    <row r="189" spans="1:18">
      <c r="A189" s="1371" t="s">
        <v>493</v>
      </c>
      <c r="B189" s="1371">
        <v>2</v>
      </c>
      <c r="C189" s="1372">
        <v>141.55000000000001</v>
      </c>
      <c r="D189" s="1372">
        <v>66.59</v>
      </c>
      <c r="E189" s="1372">
        <v>86.45</v>
      </c>
      <c r="F189" s="1372">
        <v>10.01</v>
      </c>
      <c r="G189" s="1372">
        <f t="shared" si="43"/>
        <v>228</v>
      </c>
      <c r="H189" s="1372">
        <f t="shared" si="44"/>
        <v>76.600000000000009</v>
      </c>
      <c r="I189" s="1372">
        <f t="shared" si="45"/>
        <v>33.596491228070185</v>
      </c>
      <c r="J189" s="1372">
        <v>70</v>
      </c>
      <c r="K189" s="1372">
        <v>70.77</v>
      </c>
      <c r="L189" s="1372">
        <f t="shared" si="46"/>
        <v>101.1</v>
      </c>
      <c r="M189" s="1372">
        <v>881.8</v>
      </c>
      <c r="N189" s="1372">
        <v>2968.87</v>
      </c>
      <c r="O189" s="1372">
        <f t="shared" si="47"/>
        <v>336.68292129734635</v>
      </c>
      <c r="P189" s="1372">
        <f t="shared" si="48"/>
        <v>1179.8</v>
      </c>
      <c r="Q189" s="1372">
        <f t="shared" si="48"/>
        <v>3116.24</v>
      </c>
      <c r="R189" s="1372">
        <f t="shared" si="49"/>
        <v>264.13290388201386</v>
      </c>
    </row>
    <row r="190" spans="1:18">
      <c r="A190" s="1371" t="s">
        <v>53</v>
      </c>
      <c r="B190" s="1371">
        <v>2</v>
      </c>
      <c r="C190" s="1372">
        <v>64.599999999999994</v>
      </c>
      <c r="D190" s="1372">
        <v>1.5</v>
      </c>
      <c r="E190" s="1372">
        <v>10.8</v>
      </c>
      <c r="F190" s="1372">
        <v>7.5</v>
      </c>
      <c r="G190" s="1372">
        <f t="shared" si="43"/>
        <v>75.399999999999991</v>
      </c>
      <c r="H190" s="1372">
        <f t="shared" si="44"/>
        <v>9</v>
      </c>
      <c r="I190" s="1372">
        <f t="shared" si="45"/>
        <v>11.936339522546421</v>
      </c>
      <c r="J190" s="1372">
        <v>30.7</v>
      </c>
      <c r="K190" s="1372">
        <v>0</v>
      </c>
      <c r="L190" s="1372">
        <f t="shared" si="46"/>
        <v>0</v>
      </c>
      <c r="M190" s="1372">
        <v>204.95</v>
      </c>
      <c r="N190" s="1372">
        <v>29.41</v>
      </c>
      <c r="O190" s="1372">
        <f t="shared" si="47"/>
        <v>14.34984142473774</v>
      </c>
      <c r="P190" s="1372">
        <f t="shared" si="48"/>
        <v>311.04999999999995</v>
      </c>
      <c r="Q190" s="1372">
        <f t="shared" si="48"/>
        <v>38.409999999999997</v>
      </c>
      <c r="R190" s="1372">
        <f t="shared" si="49"/>
        <v>12.348497026201576</v>
      </c>
    </row>
    <row r="191" spans="1:18">
      <c r="A191" s="1371" t="s">
        <v>494</v>
      </c>
      <c r="B191" s="1371">
        <v>1</v>
      </c>
      <c r="C191" s="1372">
        <v>27.2</v>
      </c>
      <c r="D191" s="1372">
        <v>0</v>
      </c>
      <c r="E191" s="1372">
        <v>6.4</v>
      </c>
      <c r="F191" s="1372">
        <v>15.75</v>
      </c>
      <c r="G191" s="1372">
        <f t="shared" si="43"/>
        <v>33.6</v>
      </c>
      <c r="H191" s="1372">
        <f t="shared" si="44"/>
        <v>15.75</v>
      </c>
      <c r="I191" s="1372">
        <f t="shared" si="45"/>
        <v>46.875</v>
      </c>
      <c r="J191" s="1372">
        <v>10</v>
      </c>
      <c r="K191" s="1372">
        <v>0</v>
      </c>
      <c r="L191" s="1372">
        <f t="shared" si="46"/>
        <v>0</v>
      </c>
      <c r="M191" s="1372">
        <v>926.05</v>
      </c>
      <c r="N191" s="1372">
        <v>25.2</v>
      </c>
      <c r="O191" s="1372">
        <f t="shared" si="47"/>
        <v>2.7212353544625016</v>
      </c>
      <c r="P191" s="1372">
        <f t="shared" si="48"/>
        <v>969.65</v>
      </c>
      <c r="Q191" s="1372">
        <f t="shared" si="48"/>
        <v>40.950000000000003</v>
      </c>
      <c r="R191" s="1372">
        <f t="shared" si="49"/>
        <v>4.2231733099572013</v>
      </c>
    </row>
    <row r="192" spans="1:18">
      <c r="A192" s="1371" t="s">
        <v>27</v>
      </c>
      <c r="B192" s="1371">
        <v>2</v>
      </c>
      <c r="C192" s="1372">
        <v>30</v>
      </c>
      <c r="D192" s="1372">
        <v>0</v>
      </c>
      <c r="E192" s="1372">
        <v>4</v>
      </c>
      <c r="F192" s="1372">
        <v>0</v>
      </c>
      <c r="G192" s="1372">
        <f t="shared" si="43"/>
        <v>34</v>
      </c>
      <c r="H192" s="1372">
        <f t="shared" si="44"/>
        <v>0</v>
      </c>
      <c r="I192" s="1372">
        <f t="shared" si="45"/>
        <v>0</v>
      </c>
      <c r="J192" s="1372">
        <v>446</v>
      </c>
      <c r="K192" s="1372">
        <v>39.14</v>
      </c>
      <c r="L192" s="1372">
        <f t="shared" si="46"/>
        <v>8.7757847533632294</v>
      </c>
      <c r="M192" s="1372">
        <v>4.5</v>
      </c>
      <c r="N192" s="1372">
        <v>0</v>
      </c>
      <c r="O192" s="1372">
        <f t="shared" si="47"/>
        <v>0</v>
      </c>
      <c r="P192" s="1372">
        <f t="shared" si="48"/>
        <v>484.5</v>
      </c>
      <c r="Q192" s="1372">
        <f t="shared" si="48"/>
        <v>39.14</v>
      </c>
      <c r="R192" s="1372">
        <f t="shared" si="49"/>
        <v>8.0784313725490193</v>
      </c>
    </row>
    <row r="193" spans="1:18">
      <c r="A193" s="1371" t="s">
        <v>285</v>
      </c>
      <c r="B193" s="1371">
        <v>1</v>
      </c>
      <c r="C193" s="1371">
        <v>30.35</v>
      </c>
      <c r="D193" s="1372">
        <v>11.45</v>
      </c>
      <c r="E193" s="1372">
        <v>11.5</v>
      </c>
      <c r="F193" s="1372">
        <v>25.75</v>
      </c>
      <c r="G193" s="1372">
        <f t="shared" si="43"/>
        <v>41.85</v>
      </c>
      <c r="H193" s="1372">
        <f t="shared" si="44"/>
        <v>37.200000000000003</v>
      </c>
      <c r="I193" s="1372">
        <f t="shared" si="45"/>
        <v>88.888888888888886</v>
      </c>
      <c r="J193" s="1372">
        <v>109.2</v>
      </c>
      <c r="K193" s="1372">
        <v>60.47</v>
      </c>
      <c r="L193" s="1372">
        <f t="shared" si="46"/>
        <v>55.375457875457869</v>
      </c>
      <c r="M193" s="1372">
        <v>23.9</v>
      </c>
      <c r="N193" s="1372">
        <v>16.75</v>
      </c>
      <c r="O193" s="1372">
        <f t="shared" si="47"/>
        <v>70.0836820083682</v>
      </c>
      <c r="P193" s="1372">
        <f t="shared" si="48"/>
        <v>174.95000000000002</v>
      </c>
      <c r="Q193" s="1372">
        <f t="shared" si="48"/>
        <v>114.42</v>
      </c>
      <c r="R193" s="1372">
        <f t="shared" si="49"/>
        <v>65.401543298085159</v>
      </c>
    </row>
    <row r="194" spans="1:18">
      <c r="A194" s="1371" t="s">
        <v>11</v>
      </c>
      <c r="B194" s="1371">
        <v>2</v>
      </c>
      <c r="C194" s="1372">
        <v>16.7</v>
      </c>
      <c r="D194" s="1372">
        <v>20.43</v>
      </c>
      <c r="E194" s="1372">
        <v>0</v>
      </c>
      <c r="F194" s="1372">
        <v>0</v>
      </c>
      <c r="G194" s="1372">
        <f t="shared" si="43"/>
        <v>16.7</v>
      </c>
      <c r="H194" s="1372">
        <f t="shared" si="44"/>
        <v>20.43</v>
      </c>
      <c r="I194" s="1372">
        <f t="shared" si="45"/>
        <v>122.33532934131738</v>
      </c>
      <c r="J194" s="1372">
        <v>16.600000000000001</v>
      </c>
      <c r="K194" s="1372">
        <v>131.53</v>
      </c>
      <c r="L194" s="1372">
        <f t="shared" si="46"/>
        <v>792.34939759036138</v>
      </c>
      <c r="M194" s="1372">
        <v>4.0999999999999996</v>
      </c>
      <c r="N194" s="1372">
        <v>0</v>
      </c>
      <c r="O194" s="1372">
        <f t="shared" si="47"/>
        <v>0</v>
      </c>
      <c r="P194" s="1372">
        <f t="shared" si="48"/>
        <v>37.4</v>
      </c>
      <c r="Q194" s="1372">
        <f t="shared" si="48"/>
        <v>151.96</v>
      </c>
      <c r="R194" s="1372">
        <f t="shared" si="49"/>
        <v>406.31016042780749</v>
      </c>
    </row>
    <row r="195" spans="1:18">
      <c r="A195" s="1371" t="s">
        <v>28</v>
      </c>
      <c r="B195" s="1371">
        <v>2</v>
      </c>
      <c r="C195" s="1372">
        <v>212.4</v>
      </c>
      <c r="D195" s="1372">
        <v>3.2</v>
      </c>
      <c r="E195" s="1372">
        <v>150</v>
      </c>
      <c r="F195" s="1372">
        <v>12.25</v>
      </c>
      <c r="G195" s="1372">
        <f t="shared" si="43"/>
        <v>362.4</v>
      </c>
      <c r="H195" s="1372">
        <f t="shared" si="44"/>
        <v>15.45</v>
      </c>
      <c r="I195" s="1372">
        <f t="shared" si="45"/>
        <v>4.2632450331125833</v>
      </c>
      <c r="J195" s="1372">
        <v>170</v>
      </c>
      <c r="K195" s="1372">
        <v>49</v>
      </c>
      <c r="L195" s="1372">
        <f t="shared" si="46"/>
        <v>28.823529411764707</v>
      </c>
      <c r="M195" s="1372">
        <v>1380.35</v>
      </c>
      <c r="N195" s="1372">
        <v>49</v>
      </c>
      <c r="O195" s="1372">
        <f t="shared" si="47"/>
        <v>3.5498243199188613</v>
      </c>
      <c r="P195" s="1372">
        <f t="shared" si="48"/>
        <v>1912.75</v>
      </c>
      <c r="Q195" s="1372">
        <f t="shared" si="48"/>
        <v>113.45</v>
      </c>
      <c r="R195" s="1372">
        <f t="shared" si="49"/>
        <v>5.9312508168866813</v>
      </c>
    </row>
    <row r="196" spans="1:18">
      <c r="A196" s="1371" t="s">
        <v>26</v>
      </c>
      <c r="B196" s="1371">
        <v>2</v>
      </c>
      <c r="C196" s="1372">
        <v>22</v>
      </c>
      <c r="D196" s="1372">
        <v>50</v>
      </c>
      <c r="E196" s="1372">
        <v>1</v>
      </c>
      <c r="F196" s="1372">
        <v>181.15</v>
      </c>
      <c r="G196" s="1372">
        <f t="shared" si="43"/>
        <v>23</v>
      </c>
      <c r="H196" s="1372">
        <f t="shared" si="44"/>
        <v>231.15</v>
      </c>
      <c r="I196" s="1372">
        <f t="shared" si="45"/>
        <v>1005</v>
      </c>
      <c r="J196" s="1372">
        <v>93.7</v>
      </c>
      <c r="K196" s="1372">
        <v>0.30199999999999999</v>
      </c>
      <c r="L196" s="1372">
        <f t="shared" si="46"/>
        <v>0.32230522945570966</v>
      </c>
      <c r="M196" s="1372">
        <v>13</v>
      </c>
      <c r="N196" s="1372">
        <v>388.86</v>
      </c>
      <c r="O196" s="1372">
        <f t="shared" si="47"/>
        <v>2991.2307692307691</v>
      </c>
      <c r="P196" s="1372">
        <f t="shared" si="48"/>
        <v>129.69999999999999</v>
      </c>
      <c r="Q196" s="1372">
        <f t="shared" si="48"/>
        <v>620.31200000000001</v>
      </c>
      <c r="R196" s="1372">
        <f t="shared" si="49"/>
        <v>478.26676946800313</v>
      </c>
    </row>
    <row r="197" spans="1:18">
      <c r="A197" s="1371" t="s">
        <v>83</v>
      </c>
      <c r="B197" s="1371">
        <v>1</v>
      </c>
      <c r="C197" s="1372">
        <v>30</v>
      </c>
      <c r="D197" s="1372">
        <v>0</v>
      </c>
      <c r="E197" s="1372">
        <v>0</v>
      </c>
      <c r="F197" s="1372">
        <v>1.91</v>
      </c>
      <c r="G197" s="1372">
        <f t="shared" si="43"/>
        <v>30</v>
      </c>
      <c r="H197" s="1372">
        <f t="shared" si="44"/>
        <v>1.91</v>
      </c>
      <c r="I197" s="1372">
        <f t="shared" si="45"/>
        <v>6.3666666666666663</v>
      </c>
      <c r="J197" s="1372">
        <v>50</v>
      </c>
      <c r="K197" s="1372">
        <v>20</v>
      </c>
      <c r="L197" s="1372">
        <f t="shared" si="46"/>
        <v>40</v>
      </c>
      <c r="M197" s="1372">
        <v>121.2</v>
      </c>
      <c r="N197" s="1372">
        <v>61.3</v>
      </c>
      <c r="O197" s="1372">
        <f t="shared" si="47"/>
        <v>50.57755775577558</v>
      </c>
      <c r="P197" s="1372">
        <f t="shared" si="48"/>
        <v>201.2</v>
      </c>
      <c r="Q197" s="1372">
        <f t="shared" si="48"/>
        <v>83.21</v>
      </c>
      <c r="R197" s="1372">
        <f t="shared" si="49"/>
        <v>41.356858846918485</v>
      </c>
    </row>
    <row r="198" spans="1:18">
      <c r="A198" s="1371" t="s">
        <v>495</v>
      </c>
      <c r="B198" s="1371">
        <v>1</v>
      </c>
      <c r="C198" s="1372">
        <v>35</v>
      </c>
      <c r="D198" s="1372">
        <v>1</v>
      </c>
      <c r="E198" s="1372">
        <v>44.2</v>
      </c>
      <c r="F198" s="1372">
        <v>0</v>
      </c>
      <c r="G198" s="1372">
        <f t="shared" si="43"/>
        <v>79.2</v>
      </c>
      <c r="H198" s="1372">
        <f t="shared" si="44"/>
        <v>1</v>
      </c>
      <c r="I198" s="1372">
        <f t="shared" si="45"/>
        <v>1.2626262626262625</v>
      </c>
      <c r="J198" s="1372">
        <v>322.2</v>
      </c>
      <c r="K198" s="1372">
        <v>0</v>
      </c>
      <c r="L198" s="1372">
        <f t="shared" si="46"/>
        <v>0</v>
      </c>
      <c r="M198" s="1372">
        <v>934.8</v>
      </c>
      <c r="N198" s="1372">
        <v>80</v>
      </c>
      <c r="O198" s="1372">
        <f t="shared" si="47"/>
        <v>8.5579803166452724</v>
      </c>
      <c r="P198" s="1372">
        <f t="shared" si="48"/>
        <v>1336.1999999999998</v>
      </c>
      <c r="Q198" s="1372">
        <f t="shared" si="48"/>
        <v>81</v>
      </c>
      <c r="R198" s="1372">
        <f t="shared" si="49"/>
        <v>6.0619667714414014</v>
      </c>
    </row>
    <row r="199" spans="1:18">
      <c r="A199" s="1371" t="s">
        <v>19</v>
      </c>
      <c r="B199" s="1371">
        <v>2</v>
      </c>
      <c r="C199" s="1372">
        <v>43</v>
      </c>
      <c r="D199" s="1372">
        <v>44.6</v>
      </c>
      <c r="E199" s="1372">
        <v>18.7</v>
      </c>
      <c r="F199" s="1372">
        <v>22.5</v>
      </c>
      <c r="G199" s="1372">
        <f t="shared" si="43"/>
        <v>61.7</v>
      </c>
      <c r="H199" s="1372">
        <f t="shared" si="44"/>
        <v>67.099999999999994</v>
      </c>
      <c r="I199" s="1372">
        <f t="shared" si="45"/>
        <v>108.75202593192869</v>
      </c>
      <c r="J199" s="1372">
        <v>133.5</v>
      </c>
      <c r="K199" s="1372">
        <v>0</v>
      </c>
      <c r="L199" s="1372">
        <f t="shared" si="46"/>
        <v>0</v>
      </c>
      <c r="M199" s="1372">
        <v>722.4</v>
      </c>
      <c r="N199" s="1372">
        <v>444.6</v>
      </c>
      <c r="O199" s="1372">
        <f t="shared" si="47"/>
        <v>61.544850498338874</v>
      </c>
      <c r="P199" s="1372">
        <f t="shared" si="48"/>
        <v>917.59999999999991</v>
      </c>
      <c r="Q199" s="1372">
        <f t="shared" si="48"/>
        <v>511.70000000000005</v>
      </c>
      <c r="R199" s="1372">
        <f t="shared" si="49"/>
        <v>55.765039232781184</v>
      </c>
    </row>
    <row r="200" spans="1:18">
      <c r="A200" s="1371" t="s">
        <v>52</v>
      </c>
      <c r="B200" s="1371">
        <v>1</v>
      </c>
      <c r="C200" s="1372">
        <v>25</v>
      </c>
      <c r="D200" s="1372">
        <v>0</v>
      </c>
      <c r="E200" s="1372">
        <v>6.7</v>
      </c>
      <c r="F200" s="1372">
        <v>0</v>
      </c>
      <c r="G200" s="1372">
        <f t="shared" si="43"/>
        <v>31.7</v>
      </c>
      <c r="H200" s="1372">
        <f t="shared" si="44"/>
        <v>0</v>
      </c>
      <c r="I200" s="1372">
        <f t="shared" si="45"/>
        <v>0</v>
      </c>
      <c r="J200" s="1372">
        <v>15.5</v>
      </c>
      <c r="K200" s="1372">
        <v>6.75</v>
      </c>
      <c r="L200" s="1372">
        <f t="shared" si="46"/>
        <v>43.548387096774192</v>
      </c>
      <c r="M200" s="1372">
        <v>30.2</v>
      </c>
      <c r="N200" s="1372">
        <v>36.75</v>
      </c>
      <c r="O200" s="1372">
        <f t="shared" si="47"/>
        <v>121.68874172185431</v>
      </c>
      <c r="P200" s="1372">
        <f t="shared" si="48"/>
        <v>77.400000000000006</v>
      </c>
      <c r="Q200" s="1372">
        <f t="shared" si="48"/>
        <v>43.5</v>
      </c>
      <c r="R200" s="1372">
        <f t="shared" si="49"/>
        <v>56.201550387596896</v>
      </c>
    </row>
    <row r="201" spans="1:18">
      <c r="A201" s="1371" t="s">
        <v>51</v>
      </c>
      <c r="B201" s="1371">
        <v>1</v>
      </c>
      <c r="C201" s="1372">
        <v>30</v>
      </c>
      <c r="D201" s="1372">
        <v>0</v>
      </c>
      <c r="E201" s="1372">
        <v>0</v>
      </c>
      <c r="F201" s="1372">
        <v>0</v>
      </c>
      <c r="G201" s="1372">
        <f t="shared" si="43"/>
        <v>30</v>
      </c>
      <c r="H201" s="1372">
        <f t="shared" si="44"/>
        <v>0</v>
      </c>
      <c r="I201" s="1372">
        <f t="shared" si="45"/>
        <v>0</v>
      </c>
      <c r="J201" s="1372">
        <v>20</v>
      </c>
      <c r="K201" s="1372">
        <v>12.21</v>
      </c>
      <c r="L201" s="1372">
        <f t="shared" si="46"/>
        <v>61.050000000000004</v>
      </c>
      <c r="M201" s="1372">
        <v>25.45</v>
      </c>
      <c r="N201" s="1372">
        <v>32</v>
      </c>
      <c r="O201" s="1372">
        <f t="shared" si="47"/>
        <v>125.73673870333988</v>
      </c>
      <c r="P201" s="1372">
        <f t="shared" si="48"/>
        <v>75.45</v>
      </c>
      <c r="Q201" s="1372">
        <f t="shared" si="48"/>
        <v>44.21</v>
      </c>
      <c r="R201" s="1372">
        <f t="shared" si="49"/>
        <v>58.595096090125907</v>
      </c>
    </row>
    <row r="202" spans="1:18">
      <c r="A202" s="1371" t="s">
        <v>511</v>
      </c>
      <c r="B202" s="1371">
        <v>1</v>
      </c>
      <c r="C202" s="1372">
        <v>20</v>
      </c>
      <c r="D202" s="1372">
        <v>0</v>
      </c>
      <c r="E202" s="1372">
        <v>0</v>
      </c>
      <c r="F202" s="1372">
        <v>0</v>
      </c>
      <c r="G202" s="1372">
        <f t="shared" si="43"/>
        <v>20</v>
      </c>
      <c r="H202" s="1372">
        <f t="shared" si="44"/>
        <v>0</v>
      </c>
      <c r="I202" s="1372">
        <f t="shared" si="45"/>
        <v>0</v>
      </c>
      <c r="J202" s="1372">
        <v>10</v>
      </c>
      <c r="K202" s="1372">
        <v>0</v>
      </c>
      <c r="L202" s="1372">
        <f t="shared" si="46"/>
        <v>0</v>
      </c>
      <c r="M202" s="1372">
        <v>10</v>
      </c>
      <c r="N202" s="1372">
        <v>0</v>
      </c>
      <c r="O202" s="1372">
        <f t="shared" si="47"/>
        <v>0</v>
      </c>
      <c r="P202" s="1372">
        <f t="shared" si="48"/>
        <v>40</v>
      </c>
      <c r="Q202" s="1372">
        <f t="shared" si="48"/>
        <v>0</v>
      </c>
      <c r="R202" s="1372">
        <f t="shared" si="49"/>
        <v>0</v>
      </c>
    </row>
    <row r="203" spans="1:18">
      <c r="A203" s="1371" t="s">
        <v>496</v>
      </c>
      <c r="B203" s="1371">
        <v>2</v>
      </c>
      <c r="C203" s="1372">
        <v>100</v>
      </c>
      <c r="D203" s="1372">
        <v>7.87</v>
      </c>
      <c r="E203" s="1372">
        <v>20</v>
      </c>
      <c r="F203" s="1372">
        <v>34.5</v>
      </c>
      <c r="G203" s="1372">
        <f t="shared" si="43"/>
        <v>120</v>
      </c>
      <c r="H203" s="1372">
        <f t="shared" si="44"/>
        <v>42.37</v>
      </c>
      <c r="I203" s="1372">
        <f t="shared" si="45"/>
        <v>35.30833333333333</v>
      </c>
      <c r="J203" s="1372">
        <v>20</v>
      </c>
      <c r="K203" s="1372">
        <v>1.81</v>
      </c>
      <c r="L203" s="1372">
        <f t="shared" si="46"/>
        <v>9.0499999999999989</v>
      </c>
      <c r="M203" s="1372">
        <v>732.3</v>
      </c>
      <c r="N203" s="1372">
        <v>39.31</v>
      </c>
      <c r="O203" s="1372">
        <f t="shared" si="47"/>
        <v>5.3680185716236526</v>
      </c>
      <c r="P203" s="1372">
        <f t="shared" si="48"/>
        <v>872.3</v>
      </c>
      <c r="Q203" s="1372">
        <f t="shared" si="48"/>
        <v>83.490000000000009</v>
      </c>
      <c r="R203" s="1372">
        <f t="shared" si="49"/>
        <v>9.5712484237074431</v>
      </c>
    </row>
    <row r="204" spans="1:18">
      <c r="A204" s="1371" t="s">
        <v>108</v>
      </c>
      <c r="B204" s="1371">
        <v>1</v>
      </c>
      <c r="C204" s="1372">
        <v>20</v>
      </c>
      <c r="D204" s="1372">
        <v>0</v>
      </c>
      <c r="E204" s="1372">
        <v>0</v>
      </c>
      <c r="F204" s="1372">
        <v>0</v>
      </c>
      <c r="G204" s="1372">
        <f t="shared" si="43"/>
        <v>20</v>
      </c>
      <c r="H204" s="1372">
        <f t="shared" si="44"/>
        <v>0</v>
      </c>
      <c r="I204" s="1372">
        <f t="shared" si="45"/>
        <v>0</v>
      </c>
      <c r="J204" s="1372">
        <v>15</v>
      </c>
      <c r="K204" s="1372">
        <v>0</v>
      </c>
      <c r="L204" s="1372">
        <f t="shared" si="46"/>
        <v>0</v>
      </c>
      <c r="M204" s="1372">
        <v>162.19999999999999</v>
      </c>
      <c r="N204" s="1372">
        <v>247.7</v>
      </c>
      <c r="O204" s="1372">
        <f t="shared" si="47"/>
        <v>152.71270036991368</v>
      </c>
      <c r="P204" s="1372">
        <f t="shared" si="48"/>
        <v>197.2</v>
      </c>
      <c r="Q204" s="1372">
        <f t="shared" si="48"/>
        <v>247.7</v>
      </c>
      <c r="R204" s="1372">
        <f t="shared" si="49"/>
        <v>125.60851926977688</v>
      </c>
    </row>
    <row r="205" spans="1:18">
      <c r="A205" s="1371" t="s">
        <v>286</v>
      </c>
      <c r="B205" s="1371">
        <v>1</v>
      </c>
      <c r="C205" s="1372">
        <v>20</v>
      </c>
      <c r="D205" s="1372">
        <v>0</v>
      </c>
      <c r="E205" s="1372">
        <v>0</v>
      </c>
      <c r="F205" s="1372">
        <v>0</v>
      </c>
      <c r="G205" s="1372">
        <f t="shared" si="43"/>
        <v>20</v>
      </c>
      <c r="H205" s="1372">
        <f t="shared" si="44"/>
        <v>0</v>
      </c>
      <c r="I205" s="1372">
        <f t="shared" si="45"/>
        <v>0</v>
      </c>
      <c r="J205" s="1372">
        <v>15</v>
      </c>
      <c r="K205" s="1372">
        <v>0</v>
      </c>
      <c r="L205" s="1372">
        <f t="shared" si="46"/>
        <v>0</v>
      </c>
      <c r="M205" s="1372">
        <v>10</v>
      </c>
      <c r="N205" s="1372">
        <v>0</v>
      </c>
      <c r="O205" s="1372">
        <f t="shared" si="47"/>
        <v>0</v>
      </c>
      <c r="P205" s="1372">
        <f t="shared" si="48"/>
        <v>45</v>
      </c>
      <c r="Q205" s="1372">
        <f t="shared" si="48"/>
        <v>0</v>
      </c>
      <c r="R205" s="1372">
        <f t="shared" si="49"/>
        <v>0</v>
      </c>
    </row>
    <row r="206" spans="1:18">
      <c r="A206" s="1371" t="s">
        <v>60</v>
      </c>
      <c r="B206" s="1371">
        <v>1</v>
      </c>
      <c r="C206" s="1372">
        <v>15</v>
      </c>
      <c r="D206" s="1372">
        <v>0</v>
      </c>
      <c r="E206" s="1372">
        <v>0</v>
      </c>
      <c r="F206" s="1372">
        <v>0</v>
      </c>
      <c r="G206" s="1372">
        <f t="shared" si="43"/>
        <v>15</v>
      </c>
      <c r="H206" s="1372">
        <f t="shared" si="44"/>
        <v>0</v>
      </c>
      <c r="I206" s="1372">
        <f t="shared" si="45"/>
        <v>0</v>
      </c>
      <c r="J206" s="1372">
        <v>10</v>
      </c>
      <c r="K206" s="1372">
        <v>0</v>
      </c>
      <c r="L206" s="1372">
        <f t="shared" si="46"/>
        <v>0</v>
      </c>
      <c r="M206" s="1372">
        <v>10</v>
      </c>
      <c r="N206" s="1372">
        <v>0</v>
      </c>
      <c r="O206" s="1372">
        <f t="shared" si="47"/>
        <v>0</v>
      </c>
      <c r="P206" s="1372">
        <f t="shared" si="48"/>
        <v>35</v>
      </c>
      <c r="Q206" s="1372">
        <f t="shared" si="48"/>
        <v>0</v>
      </c>
      <c r="R206" s="1372">
        <f t="shared" si="49"/>
        <v>0</v>
      </c>
    </row>
    <row r="207" spans="1:18">
      <c r="A207" s="626" t="s">
        <v>502</v>
      </c>
      <c r="B207" s="626">
        <f>SUM(B183:B206)</f>
        <v>44</v>
      </c>
      <c r="C207" s="626">
        <f t="shared" ref="C207:N207" si="50">SUM(C183:C206)</f>
        <v>1586.1000000000004</v>
      </c>
      <c r="D207" s="626">
        <f t="shared" si="50"/>
        <v>266.86</v>
      </c>
      <c r="E207" s="626">
        <f t="shared" si="50"/>
        <v>1845.4000000000003</v>
      </c>
      <c r="F207" s="626">
        <f t="shared" si="50"/>
        <v>1828.9900000000002</v>
      </c>
      <c r="G207" s="627">
        <f t="shared" si="43"/>
        <v>3431.5000000000009</v>
      </c>
      <c r="H207" s="627">
        <f t="shared" si="44"/>
        <v>2095.8500000000004</v>
      </c>
      <c r="I207" s="627">
        <f t="shared" si="45"/>
        <v>61.076788576424292</v>
      </c>
      <c r="J207" s="626">
        <f t="shared" si="50"/>
        <v>3034.5399999999995</v>
      </c>
      <c r="K207" s="626">
        <f t="shared" si="50"/>
        <v>3268.2420000000002</v>
      </c>
      <c r="L207" s="627">
        <f t="shared" si="46"/>
        <v>107.70139790544863</v>
      </c>
      <c r="M207" s="626">
        <f t="shared" si="50"/>
        <v>11635.800000000001</v>
      </c>
      <c r="N207" s="626">
        <f t="shared" si="50"/>
        <v>8320.7000000000007</v>
      </c>
      <c r="O207" s="627">
        <f t="shared" si="47"/>
        <v>71.509479365406762</v>
      </c>
      <c r="P207" s="627">
        <f t="shared" si="48"/>
        <v>18101.840000000004</v>
      </c>
      <c r="Q207" s="627">
        <f t="shared" si="48"/>
        <v>13684.792000000001</v>
      </c>
      <c r="R207" s="627">
        <f t="shared" si="49"/>
        <v>75.598900443269841</v>
      </c>
    </row>
    <row r="208" spans="1:18">
      <c r="A208" s="1371" t="s">
        <v>512</v>
      </c>
      <c r="B208" s="1371">
        <v>4</v>
      </c>
      <c r="C208" s="1372">
        <v>95</v>
      </c>
      <c r="D208" s="1372">
        <v>283.94</v>
      </c>
      <c r="E208" s="1372">
        <v>30.3</v>
      </c>
      <c r="F208" s="1372">
        <v>35</v>
      </c>
      <c r="G208" s="1372">
        <f t="shared" si="43"/>
        <v>125.3</v>
      </c>
      <c r="H208" s="1372">
        <f t="shared" si="44"/>
        <v>318.94</v>
      </c>
      <c r="I208" s="1372">
        <f t="shared" si="45"/>
        <v>254.54110135674384</v>
      </c>
      <c r="J208" s="1372">
        <v>8.5</v>
      </c>
      <c r="K208" s="1372">
        <v>50</v>
      </c>
      <c r="L208" s="1372">
        <f t="shared" si="46"/>
        <v>588.23529411764707</v>
      </c>
      <c r="M208" s="1372">
        <v>370.45</v>
      </c>
      <c r="N208" s="1372">
        <v>428.6</v>
      </c>
      <c r="O208" s="1372">
        <f t="shared" si="47"/>
        <v>115.69712511809962</v>
      </c>
      <c r="P208" s="1372">
        <f t="shared" si="48"/>
        <v>504.25</v>
      </c>
      <c r="Q208" s="1372">
        <f t="shared" si="48"/>
        <v>797.54</v>
      </c>
      <c r="R208" s="1372">
        <f t="shared" si="49"/>
        <v>158.16360932077342</v>
      </c>
    </row>
    <row r="209" spans="1:18">
      <c r="A209" s="1371" t="s">
        <v>503</v>
      </c>
      <c r="B209" s="1371">
        <v>8</v>
      </c>
      <c r="C209" s="1372">
        <v>29.8</v>
      </c>
      <c r="D209" s="1372">
        <v>4.29</v>
      </c>
      <c r="E209" s="1372">
        <v>675</v>
      </c>
      <c r="F209" s="1372">
        <v>237.35</v>
      </c>
      <c r="G209" s="1372">
        <f t="shared" si="43"/>
        <v>704.8</v>
      </c>
      <c r="H209" s="1372">
        <f t="shared" si="44"/>
        <v>241.64</v>
      </c>
      <c r="I209" s="1372">
        <f t="shared" si="45"/>
        <v>34.284903518728719</v>
      </c>
      <c r="J209" s="1372">
        <v>42.85</v>
      </c>
      <c r="K209" s="1372">
        <v>0</v>
      </c>
      <c r="L209" s="1372">
        <f t="shared" si="46"/>
        <v>0</v>
      </c>
      <c r="M209" s="1372">
        <v>414.6</v>
      </c>
      <c r="N209" s="1372">
        <v>60.4</v>
      </c>
      <c r="O209" s="1372">
        <f t="shared" si="47"/>
        <v>14.56825856246985</v>
      </c>
      <c r="P209" s="1372">
        <f t="shared" si="48"/>
        <v>1162.25</v>
      </c>
      <c r="Q209" s="1372">
        <f t="shared" si="48"/>
        <v>302.03999999999996</v>
      </c>
      <c r="R209" s="1372">
        <f t="shared" si="49"/>
        <v>25.987524198752414</v>
      </c>
    </row>
    <row r="210" spans="1:18">
      <c r="A210" s="628" t="s">
        <v>206</v>
      </c>
      <c r="B210" s="629">
        <f>SUM(B207:B209)</f>
        <v>56</v>
      </c>
      <c r="C210" s="630">
        <f>SUM(C207:C209)</f>
        <v>1710.9000000000003</v>
      </c>
      <c r="D210" s="630">
        <f t="shared" ref="D210:N210" si="51">SUM(D207:D209)</f>
        <v>555.08999999999992</v>
      </c>
      <c r="E210" s="630">
        <f t="shared" si="51"/>
        <v>2550.7000000000003</v>
      </c>
      <c r="F210" s="630">
        <f t="shared" si="51"/>
        <v>2101.34</v>
      </c>
      <c r="G210" s="627">
        <f t="shared" si="43"/>
        <v>4261.6000000000004</v>
      </c>
      <c r="H210" s="627">
        <f t="shared" si="44"/>
        <v>2656.4300000000003</v>
      </c>
      <c r="I210" s="627">
        <f t="shared" si="45"/>
        <v>62.334099868593952</v>
      </c>
      <c r="J210" s="630">
        <f t="shared" si="51"/>
        <v>3085.8899999999994</v>
      </c>
      <c r="K210" s="630">
        <f t="shared" si="51"/>
        <v>3318.2420000000002</v>
      </c>
      <c r="L210" s="627">
        <f t="shared" si="46"/>
        <v>107.52949716289307</v>
      </c>
      <c r="M210" s="630">
        <f t="shared" si="51"/>
        <v>12420.850000000002</v>
      </c>
      <c r="N210" s="630">
        <f t="shared" si="51"/>
        <v>8809.7000000000007</v>
      </c>
      <c r="O210" s="627">
        <f t="shared" si="47"/>
        <v>70.926707914514708</v>
      </c>
      <c r="P210" s="627">
        <f t="shared" si="48"/>
        <v>19768.340000000004</v>
      </c>
      <c r="Q210" s="627">
        <f t="shared" si="48"/>
        <v>14784.372000000001</v>
      </c>
      <c r="R210" s="627">
        <f t="shared" si="49"/>
        <v>74.788130920451579</v>
      </c>
    </row>
    <row r="211" spans="1:18">
      <c r="A211" s="563"/>
      <c r="B211" s="563"/>
      <c r="C211" s="601"/>
      <c r="D211" s="564"/>
      <c r="E211" s="565"/>
      <c r="F211" s="565"/>
      <c r="G211" s="565"/>
      <c r="H211" s="565"/>
      <c r="I211" s="603"/>
      <c r="J211" s="565"/>
      <c r="K211" s="565"/>
      <c r="L211" s="603"/>
      <c r="M211" s="565"/>
      <c r="N211" s="565"/>
      <c r="O211" s="603"/>
      <c r="P211" s="565"/>
      <c r="Q211" s="565"/>
      <c r="R211" s="603"/>
    </row>
    <row r="212" spans="1:18" s="741" customFormat="1">
      <c r="A212" s="563"/>
      <c r="B212" s="563"/>
      <c r="C212" s="601"/>
      <c r="D212" s="564"/>
      <c r="E212" s="565"/>
      <c r="F212" s="565"/>
      <c r="G212" s="565"/>
      <c r="H212" s="565"/>
      <c r="I212" s="603"/>
      <c r="J212" s="565"/>
      <c r="K212" s="565"/>
      <c r="L212" s="603"/>
      <c r="M212" s="565"/>
      <c r="N212" s="565"/>
      <c r="O212" s="603"/>
      <c r="P212" s="565"/>
      <c r="Q212" s="565"/>
      <c r="R212" s="603"/>
    </row>
    <row r="213" spans="1:18" s="741" customFormat="1">
      <c r="A213" s="563"/>
      <c r="B213" s="563"/>
      <c r="C213" s="601"/>
      <c r="D213" s="564"/>
      <c r="E213" s="565"/>
      <c r="F213" s="565"/>
      <c r="G213" s="565"/>
      <c r="H213" s="565"/>
      <c r="I213" s="603"/>
      <c r="J213" s="565"/>
      <c r="K213" s="565"/>
      <c r="L213" s="603"/>
      <c r="M213" s="565"/>
      <c r="N213" s="565"/>
      <c r="O213" s="603"/>
      <c r="P213" s="565"/>
      <c r="Q213" s="565"/>
      <c r="R213" s="603"/>
    </row>
    <row r="214" spans="1:18">
      <c r="A214" s="445"/>
      <c r="B214" s="445"/>
      <c r="C214" s="605"/>
      <c r="D214" s="446"/>
      <c r="E214" s="446"/>
      <c r="F214" s="446"/>
      <c r="G214" s="446"/>
      <c r="H214" s="446"/>
      <c r="I214" s="445"/>
      <c r="J214" s="446"/>
      <c r="K214" s="446"/>
      <c r="L214" s="445"/>
      <c r="M214" s="446"/>
      <c r="N214" s="446"/>
      <c r="O214" s="445"/>
      <c r="P214" s="446"/>
      <c r="Q214" s="446"/>
      <c r="R214" s="445"/>
    </row>
    <row r="215" spans="1:18">
      <c r="A215" s="445"/>
      <c r="B215" s="445"/>
      <c r="C215" s="605"/>
      <c r="D215" s="446"/>
      <c r="E215" s="446"/>
      <c r="F215" s="446"/>
      <c r="G215" s="446"/>
      <c r="H215" s="446"/>
      <c r="I215" s="445"/>
      <c r="J215" s="578"/>
      <c r="K215" s="578"/>
      <c r="L215" s="615"/>
      <c r="M215" s="446"/>
      <c r="N215" s="446"/>
      <c r="O215" s="445"/>
      <c r="P215" s="446"/>
      <c r="Q215" s="446"/>
      <c r="R215" s="445"/>
    </row>
    <row r="216" spans="1:18" ht="15.75">
      <c r="A216" s="1624">
        <v>50</v>
      </c>
      <c r="B216" s="1624"/>
      <c r="C216" s="1624"/>
      <c r="D216" s="1624"/>
      <c r="E216" s="1624"/>
      <c r="F216" s="1624"/>
      <c r="G216" s="1624"/>
      <c r="H216" s="1624"/>
      <c r="I216" s="1624"/>
      <c r="J216" s="1624"/>
      <c r="K216" s="1624"/>
      <c r="L216" s="1624"/>
      <c r="M216" s="1624"/>
      <c r="N216" s="1624"/>
      <c r="O216" s="1624"/>
      <c r="P216" s="1624"/>
      <c r="Q216" s="1624"/>
      <c r="R216" s="1624"/>
    </row>
    <row r="217" spans="1:18" ht="15.75">
      <c r="A217" s="1043"/>
      <c r="B217" s="1043"/>
      <c r="C217" s="1043"/>
      <c r="D217" s="1043"/>
      <c r="E217" s="1043"/>
      <c r="F217" s="1043"/>
      <c r="G217" s="1043"/>
      <c r="H217" s="1043"/>
      <c r="I217" s="1043"/>
      <c r="J217" s="1043"/>
      <c r="K217" s="1043"/>
      <c r="L217" s="1043"/>
      <c r="M217" s="1043"/>
      <c r="N217" s="1043"/>
      <c r="O217" s="1043"/>
      <c r="P217" s="1043"/>
      <c r="Q217" s="1043"/>
      <c r="R217" s="1043"/>
    </row>
    <row r="218" spans="1:18">
      <c r="A218" s="606" t="s">
        <v>553</v>
      </c>
      <c r="B218" s="606"/>
      <c r="C218" s="624" t="s">
        <v>554</v>
      </c>
      <c r="D218" s="577" t="s">
        <v>555</v>
      </c>
      <c r="E218" s="577"/>
      <c r="F218" s="577"/>
      <c r="G218" s="577"/>
      <c r="H218" s="577"/>
      <c r="I218" s="577"/>
      <c r="J218" s="577"/>
      <c r="K218" s="577"/>
      <c r="L218" s="577"/>
      <c r="M218" s="577"/>
      <c r="N218" s="577"/>
      <c r="O218" s="577"/>
      <c r="P218" s="577"/>
      <c r="Q218" s="1627" t="s">
        <v>315</v>
      </c>
      <c r="R218" s="1627"/>
    </row>
    <row r="219" spans="1:18">
      <c r="A219" s="1621" t="s">
        <v>343</v>
      </c>
      <c r="B219" s="1622" t="s">
        <v>501</v>
      </c>
      <c r="C219" s="1622" t="s">
        <v>484</v>
      </c>
      <c r="D219" s="1622"/>
      <c r="E219" s="1622" t="s">
        <v>485</v>
      </c>
      <c r="F219" s="1622"/>
      <c r="G219" s="1625" t="s">
        <v>486</v>
      </c>
      <c r="H219" s="1625"/>
      <c r="I219" s="1625"/>
      <c r="J219" s="1625" t="s">
        <v>487</v>
      </c>
      <c r="K219" s="1625"/>
      <c r="L219" s="1625"/>
      <c r="M219" s="1625" t="s">
        <v>488</v>
      </c>
      <c r="N219" s="1625"/>
      <c r="O219" s="1625"/>
      <c r="P219" s="1625" t="s">
        <v>489</v>
      </c>
      <c r="Q219" s="1625"/>
      <c r="R219" s="1625"/>
    </row>
    <row r="220" spans="1:18">
      <c r="A220" s="1621"/>
      <c r="B220" s="1622"/>
      <c r="C220" s="597" t="s">
        <v>530</v>
      </c>
      <c r="D220" s="441" t="s">
        <v>531</v>
      </c>
      <c r="E220" s="441" t="s">
        <v>490</v>
      </c>
      <c r="F220" s="441" t="s">
        <v>531</v>
      </c>
      <c r="G220" s="441" t="s">
        <v>490</v>
      </c>
      <c r="H220" s="441" t="s">
        <v>531</v>
      </c>
      <c r="I220" s="1042" t="s">
        <v>532</v>
      </c>
      <c r="J220" s="441" t="s">
        <v>490</v>
      </c>
      <c r="K220" s="441" t="s">
        <v>531</v>
      </c>
      <c r="L220" s="1042" t="s">
        <v>532</v>
      </c>
      <c r="M220" s="441" t="s">
        <v>490</v>
      </c>
      <c r="N220" s="441" t="s">
        <v>531</v>
      </c>
      <c r="O220" s="1042" t="s">
        <v>532</v>
      </c>
      <c r="P220" s="441" t="s">
        <v>490</v>
      </c>
      <c r="Q220" s="441" t="s">
        <v>531</v>
      </c>
      <c r="R220" s="1042" t="s">
        <v>532</v>
      </c>
    </row>
    <row r="221" spans="1:18">
      <c r="A221" s="560" t="s">
        <v>10</v>
      </c>
      <c r="B221" s="560">
        <v>2</v>
      </c>
      <c r="C221" s="599">
        <v>64.5</v>
      </c>
      <c r="D221" s="599">
        <v>5.34</v>
      </c>
      <c r="E221" s="599">
        <v>75.900000000000006</v>
      </c>
      <c r="F221" s="599">
        <v>0</v>
      </c>
      <c r="G221" s="599">
        <f>E221+C221</f>
        <v>140.4</v>
      </c>
      <c r="H221" s="599">
        <f>D221+F221</f>
        <v>5.34</v>
      </c>
      <c r="I221" s="599">
        <f>(H221/G221*100)</f>
        <v>3.8034188034188032</v>
      </c>
      <c r="J221" s="599">
        <v>53.5</v>
      </c>
      <c r="K221" s="599">
        <v>0</v>
      </c>
      <c r="L221" s="599">
        <f>(K221/J221*100)</f>
        <v>0</v>
      </c>
      <c r="M221" s="599">
        <v>340</v>
      </c>
      <c r="N221" s="599">
        <v>571.02</v>
      </c>
      <c r="O221" s="599">
        <f>(N221/M221*100)</f>
        <v>167.9470588235294</v>
      </c>
      <c r="P221" s="599">
        <f>M221+J221+G221</f>
        <v>533.9</v>
      </c>
      <c r="Q221" s="599">
        <f>H221+K221+N221</f>
        <v>576.36</v>
      </c>
      <c r="R221" s="599">
        <f>(Q221/P221*100)</f>
        <v>107.95280014984081</v>
      </c>
    </row>
    <row r="222" spans="1:18">
      <c r="A222" s="442" t="s">
        <v>17</v>
      </c>
      <c r="B222" s="442">
        <v>1</v>
      </c>
      <c r="C222" s="443">
        <v>46</v>
      </c>
      <c r="D222" s="599">
        <v>0</v>
      </c>
      <c r="E222" s="599">
        <v>48.5</v>
      </c>
      <c r="F222" s="599">
        <v>0</v>
      </c>
      <c r="G222" s="599">
        <f>E222+C222</f>
        <v>94.5</v>
      </c>
      <c r="H222" s="599">
        <f>D222+F222</f>
        <v>0</v>
      </c>
      <c r="I222" s="600">
        <f>(H222/G222*100)</f>
        <v>0</v>
      </c>
      <c r="J222" s="599">
        <v>20.440000000000001</v>
      </c>
      <c r="K222" s="599">
        <v>0</v>
      </c>
      <c r="L222" s="600">
        <f>(K222/J222*100)</f>
        <v>0</v>
      </c>
      <c r="M222" s="599">
        <v>49.15</v>
      </c>
      <c r="N222" s="599">
        <v>0</v>
      </c>
      <c r="O222" s="600">
        <f>(N222/M222*100)</f>
        <v>0</v>
      </c>
      <c r="P222" s="599">
        <f>M222+J222+G222</f>
        <v>164.09</v>
      </c>
      <c r="Q222" s="599">
        <f>H222+K222+N222</f>
        <v>0</v>
      </c>
      <c r="R222" s="600">
        <f>(Q222/P222*100)</f>
        <v>0</v>
      </c>
    </row>
    <row r="223" spans="1:18">
      <c r="A223" s="442" t="s">
        <v>502</v>
      </c>
      <c r="B223" s="442">
        <f>SUM(B221:B222)</f>
        <v>3</v>
      </c>
      <c r="C223" s="443">
        <f>SUM(C221:C222)</f>
        <v>110.5</v>
      </c>
      <c r="D223" s="599">
        <f>SUM(D221:D222)</f>
        <v>5.34</v>
      </c>
      <c r="E223" s="599">
        <f>SUM(E221:E222)</f>
        <v>124.4</v>
      </c>
      <c r="F223" s="599">
        <f>SUM(F221:F222)</f>
        <v>0</v>
      </c>
      <c r="G223" s="599">
        <f>E223+C223</f>
        <v>234.9</v>
      </c>
      <c r="H223" s="599">
        <f>D223+F223</f>
        <v>5.34</v>
      </c>
      <c r="I223" s="600">
        <f>(H223/G223*100)</f>
        <v>2.2733077905491696</v>
      </c>
      <c r="J223" s="599">
        <f>SUM(J221:J222)</f>
        <v>73.94</v>
      </c>
      <c r="K223" s="599">
        <f>SUM(K221:K222)</f>
        <v>0</v>
      </c>
      <c r="L223" s="600">
        <f>(K223/J223*100)</f>
        <v>0</v>
      </c>
      <c r="M223" s="599">
        <f>SUM(M221:M222)</f>
        <v>389.15</v>
      </c>
      <c r="N223" s="599">
        <f>SUM(N221:N222)</f>
        <v>571.02</v>
      </c>
      <c r="O223" s="600">
        <f>(N223/M223*100)</f>
        <v>146.73519208531417</v>
      </c>
      <c r="P223" s="599">
        <f>SUM(P221:P222)</f>
        <v>697.99</v>
      </c>
      <c r="Q223" s="599">
        <f>H223+K223+N223</f>
        <v>576.36</v>
      </c>
      <c r="R223" s="600">
        <f>(Q223/P223*100)</f>
        <v>82.574248914740906</v>
      </c>
    </row>
    <row r="224" spans="1:18">
      <c r="A224" s="442" t="s">
        <v>507</v>
      </c>
      <c r="B224" s="442">
        <v>1</v>
      </c>
      <c r="C224" s="443">
        <v>3.7</v>
      </c>
      <c r="D224" s="599">
        <v>0</v>
      </c>
      <c r="E224" s="599">
        <v>84.5</v>
      </c>
      <c r="F224" s="599">
        <v>72.510000000000005</v>
      </c>
      <c r="G224" s="599">
        <f>E224+C224</f>
        <v>88.2</v>
      </c>
      <c r="H224" s="599">
        <f>D224+F224</f>
        <v>72.510000000000005</v>
      </c>
      <c r="I224" s="600">
        <f>(H224/G224*100)</f>
        <v>82.210884353741491</v>
      </c>
      <c r="J224" s="599">
        <v>5.45</v>
      </c>
      <c r="K224" s="599">
        <v>0</v>
      </c>
      <c r="L224" s="600">
        <f>(K224/J224*100)</f>
        <v>0</v>
      </c>
      <c r="M224" s="599">
        <v>51.9</v>
      </c>
      <c r="N224" s="599">
        <v>0</v>
      </c>
      <c r="O224" s="600">
        <f>(N224/M224*100)</f>
        <v>0</v>
      </c>
      <c r="P224" s="599">
        <f>M224+J224+G224</f>
        <v>145.55000000000001</v>
      </c>
      <c r="Q224" s="599">
        <f>H224+K224+N224</f>
        <v>72.510000000000005</v>
      </c>
      <c r="R224" s="600">
        <f>(Q224/P224*100)</f>
        <v>49.81793198213672</v>
      </c>
    </row>
    <row r="225" spans="1:18">
      <c r="A225" s="442" t="s">
        <v>505</v>
      </c>
      <c r="B225" s="442">
        <f>SUM(B223:B224)</f>
        <v>4</v>
      </c>
      <c r="C225" s="443">
        <f>SUM(C223:C224)</f>
        <v>114.2</v>
      </c>
      <c r="D225" s="599">
        <f>SUM(D223:D224)</f>
        <v>5.34</v>
      </c>
      <c r="E225" s="599">
        <f>SUM(E223:E224)</f>
        <v>208.9</v>
      </c>
      <c r="F225" s="599">
        <f>SUM(F223:F224)</f>
        <v>72.510000000000005</v>
      </c>
      <c r="G225" s="599">
        <f>E225+C225</f>
        <v>323.10000000000002</v>
      </c>
      <c r="H225" s="599">
        <f>F225+D225</f>
        <v>77.850000000000009</v>
      </c>
      <c r="I225" s="600">
        <f>(H225/G225*100)</f>
        <v>24.094707520891365</v>
      </c>
      <c r="J225" s="599">
        <f>SUM(J223:J224)</f>
        <v>79.39</v>
      </c>
      <c r="K225" s="599">
        <f>SUM(K223:K224)</f>
        <v>0</v>
      </c>
      <c r="L225" s="600">
        <f>(K225/J225*100)</f>
        <v>0</v>
      </c>
      <c r="M225" s="599">
        <f>SUM(M223:M224)</f>
        <v>441.04999999999995</v>
      </c>
      <c r="N225" s="599">
        <f>SUM(N223:N224)</f>
        <v>571.02</v>
      </c>
      <c r="O225" s="600">
        <f>(N225/M225*100)</f>
        <v>129.46831425008503</v>
      </c>
      <c r="P225" s="599">
        <f>SUM(P223+P224)</f>
        <v>843.54</v>
      </c>
      <c r="Q225" s="599">
        <f>H225+K225+N225</f>
        <v>648.87</v>
      </c>
      <c r="R225" s="600">
        <f>(Q225/P225*100)</f>
        <v>76.922256205989044</v>
      </c>
    </row>
    <row r="226" spans="1:18">
      <c r="A226" s="563"/>
      <c r="B226" s="563"/>
      <c r="C226" s="601"/>
      <c r="D226" s="564"/>
      <c r="E226" s="564"/>
      <c r="F226" s="564"/>
      <c r="G226" s="565"/>
      <c r="H226" s="565"/>
      <c r="I226" s="603"/>
      <c r="J226" s="565"/>
      <c r="K226" s="565"/>
      <c r="L226" s="603"/>
      <c r="M226" s="565"/>
      <c r="N226" s="565"/>
      <c r="O226" s="603"/>
      <c r="P226" s="565"/>
      <c r="Q226" s="565"/>
      <c r="R226" s="603"/>
    </row>
    <row r="227" spans="1:18">
      <c r="A227" s="563"/>
      <c r="B227" s="563"/>
      <c r="C227" s="601"/>
      <c r="D227" s="564"/>
      <c r="E227" s="564"/>
      <c r="F227" s="564"/>
      <c r="G227" s="565"/>
      <c r="H227" s="565"/>
      <c r="I227" s="603"/>
      <c r="J227" s="565"/>
      <c r="K227" s="565"/>
      <c r="L227" s="603"/>
      <c r="M227" s="569"/>
      <c r="N227" s="569"/>
      <c r="O227" s="568"/>
      <c r="P227" s="565"/>
      <c r="Q227" s="565"/>
      <c r="R227" s="603"/>
    </row>
    <row r="228" spans="1:18">
      <c r="A228" s="606" t="s">
        <v>537</v>
      </c>
      <c r="B228" s="624" t="s">
        <v>556</v>
      </c>
      <c r="C228" s="624"/>
      <c r="D228" s="1626" t="s">
        <v>557</v>
      </c>
      <c r="E228" s="1626"/>
      <c r="F228" s="1626"/>
      <c r="G228" s="1626"/>
      <c r="H228" s="1626"/>
      <c r="I228" s="1626"/>
      <c r="J228" s="1626"/>
      <c r="K228" s="1626"/>
      <c r="L228" s="1626"/>
      <c r="M228" s="1626"/>
      <c r="N228" s="1626"/>
      <c r="O228" s="1626"/>
      <c r="P228" s="1626"/>
      <c r="Q228" s="1626"/>
      <c r="R228" s="1626"/>
    </row>
    <row r="229" spans="1:18">
      <c r="A229" s="1622" t="s">
        <v>343</v>
      </c>
      <c r="B229" s="1622" t="s">
        <v>510</v>
      </c>
      <c r="C229" s="1622" t="s">
        <v>484</v>
      </c>
      <c r="D229" s="1622"/>
      <c r="E229" s="1622" t="s">
        <v>485</v>
      </c>
      <c r="F229" s="1622"/>
      <c r="G229" s="1625" t="s">
        <v>486</v>
      </c>
      <c r="H229" s="1625"/>
      <c r="I229" s="1625"/>
      <c r="J229" s="1625" t="s">
        <v>487</v>
      </c>
      <c r="K229" s="1625"/>
      <c r="L229" s="1625"/>
      <c r="M229" s="1625" t="s">
        <v>488</v>
      </c>
      <c r="N229" s="1625"/>
      <c r="O229" s="1625"/>
      <c r="P229" s="1625" t="s">
        <v>489</v>
      </c>
      <c r="Q229" s="1625"/>
      <c r="R229" s="1625"/>
    </row>
    <row r="230" spans="1:18">
      <c r="A230" s="1622"/>
      <c r="B230" s="1622"/>
      <c r="C230" s="597" t="s">
        <v>530</v>
      </c>
      <c r="D230" s="441" t="s">
        <v>531</v>
      </c>
      <c r="E230" s="441" t="s">
        <v>490</v>
      </c>
      <c r="F230" s="441" t="s">
        <v>531</v>
      </c>
      <c r="G230" s="441" t="s">
        <v>490</v>
      </c>
      <c r="H230" s="441" t="s">
        <v>531</v>
      </c>
      <c r="I230" s="1042" t="s">
        <v>532</v>
      </c>
      <c r="J230" s="441" t="s">
        <v>490</v>
      </c>
      <c r="K230" s="441" t="s">
        <v>531</v>
      </c>
      <c r="L230" s="1042" t="s">
        <v>532</v>
      </c>
      <c r="M230" s="441" t="s">
        <v>490</v>
      </c>
      <c r="N230" s="441" t="s">
        <v>531</v>
      </c>
      <c r="O230" s="1042" t="s">
        <v>532</v>
      </c>
      <c r="P230" s="441" t="s">
        <v>490</v>
      </c>
      <c r="Q230" s="441" t="s">
        <v>531</v>
      </c>
      <c r="R230" s="1042" t="s">
        <v>532</v>
      </c>
    </row>
    <row r="231" spans="1:18">
      <c r="A231" s="560" t="s">
        <v>10</v>
      </c>
      <c r="B231" s="560">
        <v>7</v>
      </c>
      <c r="C231" s="1373">
        <v>225</v>
      </c>
      <c r="D231" s="1373">
        <v>0</v>
      </c>
      <c r="E231" s="1373">
        <v>269.39999999999998</v>
      </c>
      <c r="F231" s="1373">
        <v>0</v>
      </c>
      <c r="G231" s="1373">
        <f t="shared" ref="G231:G238" si="52">E231+C231</f>
        <v>494.4</v>
      </c>
      <c r="H231" s="1373">
        <f t="shared" ref="H231:H236" si="53">D231+F231</f>
        <v>0</v>
      </c>
      <c r="I231" s="1373">
        <f t="shared" ref="I231:I238" si="54">(H231/G231*100)</f>
        <v>0</v>
      </c>
      <c r="J231" s="1373">
        <v>187.2</v>
      </c>
      <c r="K231" s="1373">
        <v>14.25</v>
      </c>
      <c r="L231" s="1373">
        <f>(K2054/J231*100)</f>
        <v>0</v>
      </c>
      <c r="M231" s="1373">
        <v>1190</v>
      </c>
      <c r="N231" s="1373">
        <v>117.19</v>
      </c>
      <c r="O231" s="1373">
        <f>(N231/M231*100)</f>
        <v>9.8478991596638661</v>
      </c>
      <c r="P231" s="1373">
        <f>M231+J231+G231</f>
        <v>1871.6</v>
      </c>
      <c r="Q231" s="1373">
        <f>H231+K231+N231</f>
        <v>131.44</v>
      </c>
      <c r="R231" s="1373">
        <f>(Q231/P231*100)</f>
        <v>7.0228681342167132</v>
      </c>
    </row>
    <row r="232" spans="1:18">
      <c r="A232" s="442" t="s">
        <v>17</v>
      </c>
      <c r="B232" s="442">
        <v>1</v>
      </c>
      <c r="C232" s="443">
        <v>46</v>
      </c>
      <c r="D232" s="599">
        <v>0</v>
      </c>
      <c r="E232" s="599">
        <v>48.05</v>
      </c>
      <c r="F232" s="599">
        <v>5.72</v>
      </c>
      <c r="G232" s="599">
        <f t="shared" si="52"/>
        <v>94.05</v>
      </c>
      <c r="H232" s="599">
        <f t="shared" si="53"/>
        <v>5.72</v>
      </c>
      <c r="I232" s="600">
        <f t="shared" si="54"/>
        <v>6.0818713450292394</v>
      </c>
      <c r="J232" s="599">
        <v>20.399999999999999</v>
      </c>
      <c r="K232" s="599">
        <v>0</v>
      </c>
      <c r="L232" s="600">
        <f>(K2055/J232*100)</f>
        <v>0</v>
      </c>
      <c r="M232" s="599">
        <v>49.15</v>
      </c>
      <c r="N232" s="599">
        <v>33.74</v>
      </c>
      <c r="O232" s="600">
        <f t="shared" ref="O232:O238" si="55">(N232/M232*100)</f>
        <v>68.646998982706009</v>
      </c>
      <c r="P232" s="599">
        <f>M232+J232+G232</f>
        <v>163.6</v>
      </c>
      <c r="Q232" s="599">
        <f t="shared" ref="Q232:Q237" si="56">H232+K232+N232</f>
        <v>39.46</v>
      </c>
      <c r="R232" s="600">
        <f t="shared" ref="R232:R238" si="57">(Q232/P232*100)</f>
        <v>24.119804400977994</v>
      </c>
    </row>
    <row r="233" spans="1:18">
      <c r="A233" s="442" t="s">
        <v>11</v>
      </c>
      <c r="B233" s="442">
        <v>1</v>
      </c>
      <c r="C233" s="443">
        <v>15</v>
      </c>
      <c r="D233" s="599">
        <v>0</v>
      </c>
      <c r="E233" s="599">
        <v>0</v>
      </c>
      <c r="F233" s="599">
        <v>0</v>
      </c>
      <c r="G233" s="599">
        <f t="shared" si="52"/>
        <v>15</v>
      </c>
      <c r="H233" s="599">
        <f t="shared" si="53"/>
        <v>0</v>
      </c>
      <c r="I233" s="600">
        <f t="shared" si="54"/>
        <v>0</v>
      </c>
      <c r="J233" s="599">
        <v>7</v>
      </c>
      <c r="K233" s="599">
        <v>0</v>
      </c>
      <c r="L233" s="600">
        <f>(K2056/J233*100)</f>
        <v>0</v>
      </c>
      <c r="M233" s="599">
        <v>2</v>
      </c>
      <c r="N233" s="599">
        <v>0</v>
      </c>
      <c r="O233" s="600">
        <f t="shared" si="55"/>
        <v>0</v>
      </c>
      <c r="P233" s="599">
        <f>G233+J233+M233</f>
        <v>24</v>
      </c>
      <c r="Q233" s="599">
        <f t="shared" si="56"/>
        <v>0</v>
      </c>
      <c r="R233" s="600">
        <f t="shared" si="57"/>
        <v>0</v>
      </c>
    </row>
    <row r="234" spans="1:18">
      <c r="A234" s="442" t="s">
        <v>24</v>
      </c>
      <c r="B234" s="442">
        <v>2</v>
      </c>
      <c r="C234" s="443">
        <v>35</v>
      </c>
      <c r="D234" s="599">
        <v>0</v>
      </c>
      <c r="E234" s="599">
        <v>9.1</v>
      </c>
      <c r="F234" s="599">
        <v>0.05</v>
      </c>
      <c r="G234" s="599">
        <f t="shared" si="52"/>
        <v>44.1</v>
      </c>
      <c r="H234" s="599">
        <f t="shared" si="53"/>
        <v>0.05</v>
      </c>
      <c r="I234" s="600">
        <f t="shared" si="54"/>
        <v>0.11337868480725624</v>
      </c>
      <c r="J234" s="599">
        <v>85</v>
      </c>
      <c r="K234" s="599">
        <v>0</v>
      </c>
      <c r="L234" s="600">
        <f>(K2057/J234*100)</f>
        <v>0</v>
      </c>
      <c r="M234" s="599">
        <v>361.2</v>
      </c>
      <c r="N234" s="599">
        <v>48.4</v>
      </c>
      <c r="O234" s="600">
        <f t="shared" si="55"/>
        <v>13.399778516057587</v>
      </c>
      <c r="P234" s="599">
        <f>M234+J234+G234</f>
        <v>490.3</v>
      </c>
      <c r="Q234" s="599">
        <f t="shared" si="56"/>
        <v>48.449999999999996</v>
      </c>
      <c r="R234" s="600">
        <f t="shared" si="57"/>
        <v>9.8817050785233516</v>
      </c>
    </row>
    <row r="235" spans="1:18">
      <c r="A235" s="442" t="s">
        <v>32</v>
      </c>
      <c r="B235" s="442">
        <v>1</v>
      </c>
      <c r="C235" s="443">
        <v>40</v>
      </c>
      <c r="D235" s="599">
        <v>0</v>
      </c>
      <c r="E235" s="599">
        <v>2.2999999999999998</v>
      </c>
      <c r="F235" s="599">
        <v>0</v>
      </c>
      <c r="G235" s="599">
        <f t="shared" si="52"/>
        <v>42.3</v>
      </c>
      <c r="H235" s="599">
        <v>0</v>
      </c>
      <c r="I235" s="600">
        <v>0</v>
      </c>
      <c r="J235" s="599">
        <v>3</v>
      </c>
      <c r="K235" s="599">
        <v>0</v>
      </c>
      <c r="L235" s="600">
        <v>0</v>
      </c>
      <c r="M235" s="599">
        <v>50.1</v>
      </c>
      <c r="N235" s="599">
        <v>5.7</v>
      </c>
      <c r="O235" s="600">
        <v>0</v>
      </c>
      <c r="P235" s="599">
        <f>M235+J235+G235</f>
        <v>95.4</v>
      </c>
      <c r="Q235" s="599">
        <v>1.5</v>
      </c>
      <c r="R235" s="600">
        <v>0</v>
      </c>
    </row>
    <row r="236" spans="1:18">
      <c r="A236" s="442" t="s">
        <v>502</v>
      </c>
      <c r="B236" s="442">
        <f>SUM(B231:B235)</f>
        <v>12</v>
      </c>
      <c r="C236" s="443">
        <f>SUM(C231:C235)</f>
        <v>361</v>
      </c>
      <c r="D236" s="599">
        <f>SUM(D231:D234)</f>
        <v>0</v>
      </c>
      <c r="E236" s="599">
        <f>SUM(E231:E235)</f>
        <v>328.85</v>
      </c>
      <c r="F236" s="599">
        <f>SUM(F231:F234)</f>
        <v>5.77</v>
      </c>
      <c r="G236" s="599">
        <f t="shared" si="52"/>
        <v>689.85</v>
      </c>
      <c r="H236" s="599">
        <f t="shared" si="53"/>
        <v>5.77</v>
      </c>
      <c r="I236" s="600">
        <f t="shared" si="54"/>
        <v>0.83641371312604185</v>
      </c>
      <c r="J236" s="599">
        <f>SUM(J231:J235)</f>
        <v>302.60000000000002</v>
      </c>
      <c r="K236" s="599">
        <f>SUM(K231:K234)</f>
        <v>14.25</v>
      </c>
      <c r="L236" s="600">
        <f>(K2058/J236*100)</f>
        <v>0</v>
      </c>
      <c r="M236" s="599">
        <f>SUM(M231:M235)</f>
        <v>1652.45</v>
      </c>
      <c r="N236" s="599">
        <f>SUM(N231:N235)</f>
        <v>205.03</v>
      </c>
      <c r="O236" s="600">
        <f t="shared" si="55"/>
        <v>12.407637144845532</v>
      </c>
      <c r="P236" s="599">
        <f>SUM(P231:P235)</f>
        <v>2644.9</v>
      </c>
      <c r="Q236" s="599">
        <f>SUM(Q231:Q235)</f>
        <v>220.85</v>
      </c>
      <c r="R236" s="600">
        <f t="shared" si="57"/>
        <v>8.3500321373208806</v>
      </c>
    </row>
    <row r="237" spans="1:18">
      <c r="A237" s="442" t="s">
        <v>507</v>
      </c>
      <c r="B237" s="442">
        <v>1</v>
      </c>
      <c r="C237" s="443">
        <v>3.7</v>
      </c>
      <c r="D237" s="599">
        <v>0.5</v>
      </c>
      <c r="E237" s="599">
        <v>84.5</v>
      </c>
      <c r="F237" s="599">
        <v>24.7</v>
      </c>
      <c r="G237" s="599">
        <f t="shared" si="52"/>
        <v>88.2</v>
      </c>
      <c r="H237" s="599">
        <f>D237+F237</f>
        <v>25.2</v>
      </c>
      <c r="I237" s="600">
        <f t="shared" si="54"/>
        <v>28.571428571428569</v>
      </c>
      <c r="J237" s="599">
        <v>5.5</v>
      </c>
      <c r="K237" s="599">
        <v>0</v>
      </c>
      <c r="L237" s="600">
        <f>(K2059/J237*100)</f>
        <v>0</v>
      </c>
      <c r="M237" s="599">
        <v>52</v>
      </c>
      <c r="N237" s="599">
        <v>5</v>
      </c>
      <c r="O237" s="600">
        <f>(N237/M237*100)</f>
        <v>9.6153846153846168</v>
      </c>
      <c r="P237" s="599">
        <f>M237+J237+G237</f>
        <v>145.69999999999999</v>
      </c>
      <c r="Q237" s="599">
        <f t="shared" si="56"/>
        <v>30.2</v>
      </c>
      <c r="R237" s="600">
        <f t="shared" si="57"/>
        <v>20.727522306108444</v>
      </c>
    </row>
    <row r="238" spans="1:18">
      <c r="A238" s="442" t="s">
        <v>505</v>
      </c>
      <c r="B238" s="442">
        <f>SUM(B236:B237)</f>
        <v>13</v>
      </c>
      <c r="C238" s="443">
        <f>SUM(C236:C237)</f>
        <v>364.7</v>
      </c>
      <c r="D238" s="599">
        <f>SUM(D236:D237)</f>
        <v>0.5</v>
      </c>
      <c r="E238" s="599">
        <f>SUM(E236:E237)</f>
        <v>413.35</v>
      </c>
      <c r="F238" s="599">
        <f>SUM(F236:F237)</f>
        <v>30.47</v>
      </c>
      <c r="G238" s="599">
        <f t="shared" si="52"/>
        <v>778.05</v>
      </c>
      <c r="H238" s="599">
        <f>F238+D238</f>
        <v>30.97</v>
      </c>
      <c r="I238" s="600">
        <f t="shared" si="54"/>
        <v>3.980463980463981</v>
      </c>
      <c r="J238" s="599">
        <f>SUM(J236:J237)</f>
        <v>308.10000000000002</v>
      </c>
      <c r="K238" s="599">
        <f>SUM(K236:K237)</f>
        <v>14.25</v>
      </c>
      <c r="L238" s="600">
        <f>(K2060/J238*100)</f>
        <v>0</v>
      </c>
      <c r="M238" s="599">
        <f>SUM(M236:M237)</f>
        <v>1704.45</v>
      </c>
      <c r="N238" s="599">
        <f>SUM(N236:N237)</f>
        <v>210.03</v>
      </c>
      <c r="O238" s="600">
        <f t="shared" si="55"/>
        <v>12.322450057203204</v>
      </c>
      <c r="P238" s="599">
        <f>SUM(P236:P237)</f>
        <v>2790.6</v>
      </c>
      <c r="Q238" s="599">
        <f>SUM(Q236:Q237)</f>
        <v>251.04999999999998</v>
      </c>
      <c r="R238" s="600">
        <f t="shared" si="57"/>
        <v>8.9962732028954342</v>
      </c>
    </row>
    <row r="239" spans="1:18">
      <c r="A239" s="574"/>
      <c r="B239" s="574"/>
      <c r="C239" s="580"/>
      <c r="D239" s="567"/>
      <c r="E239" s="567"/>
      <c r="F239" s="567"/>
      <c r="G239" s="567"/>
      <c r="H239" s="567"/>
      <c r="I239" s="609"/>
      <c r="J239" s="567"/>
      <c r="K239" s="567"/>
      <c r="L239" s="609"/>
      <c r="M239" s="567"/>
      <c r="N239" s="567"/>
      <c r="O239" s="609"/>
      <c r="P239" s="567"/>
      <c r="Q239" s="567"/>
      <c r="R239" s="609"/>
    </row>
    <row r="240" spans="1:18">
      <c r="A240" s="568"/>
      <c r="B240" s="568"/>
      <c r="C240" s="611"/>
      <c r="D240" s="569"/>
      <c r="E240" s="569"/>
      <c r="F240" s="569"/>
      <c r="G240" s="570"/>
      <c r="H240" s="570"/>
      <c r="I240" s="612"/>
      <c r="J240" s="570"/>
      <c r="K240" s="570"/>
      <c r="L240" s="612"/>
      <c r="M240" s="570"/>
      <c r="N240" s="570"/>
      <c r="O240" s="612"/>
      <c r="P240" s="570"/>
      <c r="Q240" s="570"/>
      <c r="R240" s="612"/>
    </row>
    <row r="241" spans="1:18">
      <c r="A241" s="606" t="s">
        <v>513</v>
      </c>
      <c r="B241" s="606"/>
      <c r="C241" s="632"/>
      <c r="D241" s="1626" t="s">
        <v>555</v>
      </c>
      <c r="E241" s="1626"/>
      <c r="F241" s="1626"/>
      <c r="G241" s="1626"/>
      <c r="H241" s="1626"/>
      <c r="I241" s="1626"/>
      <c r="J241" s="1626"/>
      <c r="K241" s="1626"/>
      <c r="L241" s="1626"/>
      <c r="M241" s="1626"/>
      <c r="N241" s="1626"/>
      <c r="O241" s="1626"/>
      <c r="P241" s="1626"/>
      <c r="Q241" s="1626"/>
      <c r="R241" s="1626"/>
    </row>
    <row r="242" spans="1:18">
      <c r="A242" s="1621" t="s">
        <v>500</v>
      </c>
      <c r="B242" s="1622" t="s">
        <v>497</v>
      </c>
      <c r="C242" s="1622" t="s">
        <v>484</v>
      </c>
      <c r="D242" s="1622"/>
      <c r="E242" s="1622" t="s">
        <v>485</v>
      </c>
      <c r="F242" s="1622"/>
      <c r="G242" s="1625" t="s">
        <v>486</v>
      </c>
      <c r="H242" s="1625"/>
      <c r="I242" s="1625"/>
      <c r="J242" s="1625" t="s">
        <v>487</v>
      </c>
      <c r="K242" s="1625"/>
      <c r="L242" s="1625"/>
      <c r="M242" s="1625" t="s">
        <v>488</v>
      </c>
      <c r="N242" s="1625"/>
      <c r="O242" s="1625"/>
      <c r="P242" s="1625" t="s">
        <v>489</v>
      </c>
      <c r="Q242" s="1625"/>
      <c r="R242" s="1625"/>
    </row>
    <row r="243" spans="1:18">
      <c r="A243" s="1621"/>
      <c r="B243" s="1622"/>
      <c r="C243" s="597" t="s">
        <v>530</v>
      </c>
      <c r="D243" s="441" t="s">
        <v>531</v>
      </c>
      <c r="E243" s="441" t="s">
        <v>490</v>
      </c>
      <c r="F243" s="441" t="s">
        <v>531</v>
      </c>
      <c r="G243" s="441" t="s">
        <v>490</v>
      </c>
      <c r="H243" s="441" t="s">
        <v>531</v>
      </c>
      <c r="I243" s="1042" t="s">
        <v>532</v>
      </c>
      <c r="J243" s="441" t="s">
        <v>490</v>
      </c>
      <c r="K243" s="441" t="s">
        <v>531</v>
      </c>
      <c r="L243" s="1042" t="s">
        <v>532</v>
      </c>
      <c r="M243" s="441" t="s">
        <v>490</v>
      </c>
      <c r="N243" s="441" t="s">
        <v>531</v>
      </c>
      <c r="O243" s="1042" t="s">
        <v>532</v>
      </c>
      <c r="P243" s="441" t="s">
        <v>490</v>
      </c>
      <c r="Q243" s="441" t="s">
        <v>531</v>
      </c>
      <c r="R243" s="1042" t="s">
        <v>532</v>
      </c>
    </row>
    <row r="244" spans="1:18">
      <c r="A244" s="560" t="s">
        <v>10</v>
      </c>
      <c r="B244" s="560">
        <v>3</v>
      </c>
      <c r="C244" s="571">
        <v>96.6</v>
      </c>
      <c r="D244" s="599">
        <v>0</v>
      </c>
      <c r="E244" s="599">
        <v>113.9</v>
      </c>
      <c r="F244" s="599">
        <v>0</v>
      </c>
      <c r="G244" s="599">
        <f>E244+C244</f>
        <v>210.5</v>
      </c>
      <c r="H244" s="599">
        <f>D244+F244</f>
        <v>0</v>
      </c>
      <c r="I244" s="599">
        <f>(H244/G244*100)</f>
        <v>0</v>
      </c>
      <c r="J244" s="599">
        <v>80.2</v>
      </c>
      <c r="K244" s="599">
        <v>4</v>
      </c>
      <c r="L244" s="599">
        <f>(K244/J244*100)</f>
        <v>4.9875311720698248</v>
      </c>
      <c r="M244" s="599">
        <v>510</v>
      </c>
      <c r="N244" s="599">
        <v>149.94999999999999</v>
      </c>
      <c r="O244" s="599">
        <f>(N244/M244*100)</f>
        <v>29.401960784313726</v>
      </c>
      <c r="P244" s="599">
        <f>M244+J244+G244</f>
        <v>800.7</v>
      </c>
      <c r="Q244" s="599">
        <f>H244+K244+N244</f>
        <v>153.94999999999999</v>
      </c>
      <c r="R244" s="599">
        <f>(Q244/P244*100)</f>
        <v>19.226926439365553</v>
      </c>
    </row>
    <row r="245" spans="1:18">
      <c r="A245" s="442" t="s">
        <v>11</v>
      </c>
      <c r="B245" s="442">
        <v>1</v>
      </c>
      <c r="C245" s="443">
        <v>20</v>
      </c>
      <c r="D245" s="599">
        <v>0</v>
      </c>
      <c r="E245" s="599">
        <v>0</v>
      </c>
      <c r="F245" s="599">
        <v>0</v>
      </c>
      <c r="G245" s="599">
        <f>E245+C245</f>
        <v>20</v>
      </c>
      <c r="H245" s="599">
        <f t="shared" ref="H245:H251" si="58">D245+F245</f>
        <v>0</v>
      </c>
      <c r="I245" s="600">
        <f t="shared" ref="I245:I251" si="59">(H245/G245*100)</f>
        <v>0</v>
      </c>
      <c r="J245" s="599">
        <v>7</v>
      </c>
      <c r="K245" s="599">
        <v>0</v>
      </c>
      <c r="L245" s="600">
        <f t="shared" ref="L245:L252" si="60">(K245/J245*100)</f>
        <v>0</v>
      </c>
      <c r="M245" s="599">
        <v>2</v>
      </c>
      <c r="N245" s="599">
        <v>0</v>
      </c>
      <c r="O245" s="600">
        <f t="shared" ref="O245:O252" si="61">(N245/M245*100)</f>
        <v>0</v>
      </c>
      <c r="P245" s="599">
        <f>G245+J245+M245</f>
        <v>29</v>
      </c>
      <c r="Q245" s="599">
        <f>H245+H245+N245</f>
        <v>0</v>
      </c>
      <c r="R245" s="600">
        <f t="shared" ref="R245:R252" si="62">(Q245/P245*100)</f>
        <v>0</v>
      </c>
    </row>
    <row r="246" spans="1:18">
      <c r="A246" s="442" t="s">
        <v>26</v>
      </c>
      <c r="B246" s="442">
        <v>1</v>
      </c>
      <c r="C246" s="599">
        <v>18</v>
      </c>
      <c r="D246" s="599">
        <v>0</v>
      </c>
      <c r="E246" s="599">
        <v>0</v>
      </c>
      <c r="F246" s="599">
        <v>73.5</v>
      </c>
      <c r="G246" s="599">
        <f t="shared" ref="G246:G252" si="63">E246+C246</f>
        <v>18</v>
      </c>
      <c r="H246" s="599">
        <f t="shared" si="58"/>
        <v>73.5</v>
      </c>
      <c r="I246" s="599">
        <f t="shared" si="59"/>
        <v>408.33333333333331</v>
      </c>
      <c r="J246" s="599">
        <v>46.85</v>
      </c>
      <c r="K246" s="599">
        <v>0</v>
      </c>
      <c r="L246" s="599">
        <f t="shared" si="60"/>
        <v>0</v>
      </c>
      <c r="M246" s="599">
        <v>6.5</v>
      </c>
      <c r="N246" s="599">
        <v>13.96</v>
      </c>
      <c r="O246" s="599">
        <f t="shared" si="61"/>
        <v>214.76923076923077</v>
      </c>
      <c r="P246" s="599">
        <f>M246+J246+G246</f>
        <v>71.349999999999994</v>
      </c>
      <c r="Q246" s="599">
        <f>H246+K246+N246</f>
        <v>87.460000000000008</v>
      </c>
      <c r="R246" s="599">
        <f t="shared" si="62"/>
        <v>122.57883672039245</v>
      </c>
    </row>
    <row r="247" spans="1:18">
      <c r="A247" s="442"/>
      <c r="B247" s="442"/>
      <c r="C247" s="599"/>
      <c r="D247" s="599"/>
      <c r="E247" s="599"/>
      <c r="F247" s="599"/>
      <c r="G247" s="599"/>
      <c r="H247" s="599"/>
      <c r="I247" s="599"/>
      <c r="J247" s="599"/>
      <c r="K247" s="599"/>
      <c r="L247" s="599"/>
      <c r="M247" s="599"/>
      <c r="N247" s="599"/>
      <c r="O247" s="599"/>
      <c r="P247" s="599"/>
      <c r="Q247" s="599"/>
      <c r="R247" s="599"/>
    </row>
    <row r="248" spans="1:18">
      <c r="A248" s="442" t="s">
        <v>17</v>
      </c>
      <c r="B248" s="442">
        <v>1</v>
      </c>
      <c r="C248" s="443">
        <v>44.32</v>
      </c>
      <c r="D248" s="599">
        <v>0</v>
      </c>
      <c r="E248" s="599">
        <v>48.5</v>
      </c>
      <c r="F248" s="599">
        <v>2.2999999999999998</v>
      </c>
      <c r="G248" s="599">
        <f t="shared" si="63"/>
        <v>92.82</v>
      </c>
      <c r="H248" s="599">
        <f t="shared" si="58"/>
        <v>2.2999999999999998</v>
      </c>
      <c r="I248" s="600">
        <f t="shared" si="59"/>
        <v>2.4779142426201251</v>
      </c>
      <c r="J248" s="599">
        <v>20.399999999999999</v>
      </c>
      <c r="K248" s="599">
        <v>0</v>
      </c>
      <c r="L248" s="600">
        <f t="shared" si="60"/>
        <v>0</v>
      </c>
      <c r="M248" s="599">
        <v>49.1</v>
      </c>
      <c r="N248" s="599">
        <v>12.8</v>
      </c>
      <c r="O248" s="600">
        <f t="shared" si="61"/>
        <v>26.069246435845216</v>
      </c>
      <c r="P248" s="599">
        <f>M248+J248+G248</f>
        <v>162.32</v>
      </c>
      <c r="Q248" s="599">
        <f>H248+K248+N248</f>
        <v>15.100000000000001</v>
      </c>
      <c r="R248" s="600">
        <f t="shared" si="62"/>
        <v>9.3026121241991131</v>
      </c>
    </row>
    <row r="249" spans="1:18">
      <c r="A249" s="442" t="s">
        <v>24</v>
      </c>
      <c r="B249" s="442">
        <v>1</v>
      </c>
      <c r="C249" s="443">
        <v>20</v>
      </c>
      <c r="D249" s="599">
        <v>0</v>
      </c>
      <c r="E249" s="599">
        <v>9.1</v>
      </c>
      <c r="F249" s="599">
        <v>0</v>
      </c>
      <c r="G249" s="599">
        <f t="shared" si="63"/>
        <v>29.1</v>
      </c>
      <c r="H249" s="599">
        <f t="shared" si="58"/>
        <v>0</v>
      </c>
      <c r="I249" s="600">
        <f t="shared" si="59"/>
        <v>0</v>
      </c>
      <c r="J249" s="599">
        <v>79.5</v>
      </c>
      <c r="K249" s="599">
        <v>0</v>
      </c>
      <c r="L249" s="600">
        <f t="shared" si="60"/>
        <v>0</v>
      </c>
      <c r="M249" s="599">
        <v>361.2</v>
      </c>
      <c r="N249" s="599">
        <v>70</v>
      </c>
      <c r="O249" s="600">
        <f t="shared" si="61"/>
        <v>19.379844961240313</v>
      </c>
      <c r="P249" s="599">
        <f>M249+J249+G249</f>
        <v>469.8</v>
      </c>
      <c r="Q249" s="599">
        <v>70</v>
      </c>
      <c r="R249" s="600">
        <f t="shared" si="62"/>
        <v>14.899957428693062</v>
      </c>
    </row>
    <row r="250" spans="1:18">
      <c r="A250" s="442" t="s">
        <v>502</v>
      </c>
      <c r="B250" s="442">
        <f>SUM(B244:B249)</f>
        <v>7</v>
      </c>
      <c r="C250" s="444">
        <f>SUM(C244:C249)</f>
        <v>198.92</v>
      </c>
      <c r="D250" s="599">
        <f>SUM(D244:D249)</f>
        <v>0</v>
      </c>
      <c r="E250" s="599">
        <f>SUM(E244:E249)</f>
        <v>171.5</v>
      </c>
      <c r="F250" s="599">
        <f>SUM(F244:F249)</f>
        <v>75.8</v>
      </c>
      <c r="G250" s="599">
        <f t="shared" si="63"/>
        <v>370.41999999999996</v>
      </c>
      <c r="H250" s="599">
        <f t="shared" si="58"/>
        <v>75.8</v>
      </c>
      <c r="I250" s="600">
        <f t="shared" si="59"/>
        <v>20.46325792343826</v>
      </c>
      <c r="J250" s="599">
        <f>SUM(J244:J249)</f>
        <v>233.95000000000002</v>
      </c>
      <c r="K250" s="599">
        <f>SUM(K244:K249)</f>
        <v>4</v>
      </c>
      <c r="L250" s="600">
        <f t="shared" si="60"/>
        <v>1.7097670442402222</v>
      </c>
      <c r="M250" s="599">
        <f>SUM(M244:M249)</f>
        <v>928.8</v>
      </c>
      <c r="N250" s="599">
        <f>SUM(N244:N249)</f>
        <v>246.71</v>
      </c>
      <c r="O250" s="600">
        <f t="shared" si="61"/>
        <v>26.562230835486648</v>
      </c>
      <c r="P250" s="599">
        <f>SUM(P244:P249)</f>
        <v>1533.17</v>
      </c>
      <c r="Q250" s="599">
        <f>H250+K250+N250</f>
        <v>326.51</v>
      </c>
      <c r="R250" s="600">
        <f t="shared" si="62"/>
        <v>21.296398964237493</v>
      </c>
    </row>
    <row r="251" spans="1:18">
      <c r="A251" s="442" t="s">
        <v>507</v>
      </c>
      <c r="B251" s="442">
        <v>2</v>
      </c>
      <c r="C251" s="443">
        <v>7.5</v>
      </c>
      <c r="D251" s="599">
        <v>0</v>
      </c>
      <c r="E251" s="599">
        <v>169</v>
      </c>
      <c r="F251" s="599">
        <v>63.18</v>
      </c>
      <c r="G251" s="599">
        <f t="shared" si="63"/>
        <v>176.5</v>
      </c>
      <c r="H251" s="599">
        <f t="shared" si="58"/>
        <v>63.18</v>
      </c>
      <c r="I251" s="600">
        <f t="shared" si="59"/>
        <v>35.796033994334273</v>
      </c>
      <c r="J251" s="599">
        <v>10.85</v>
      </c>
      <c r="K251" s="599">
        <v>0</v>
      </c>
      <c r="L251" s="600">
        <f t="shared" si="60"/>
        <v>0</v>
      </c>
      <c r="M251" s="599">
        <v>103.75</v>
      </c>
      <c r="N251" s="599">
        <v>0</v>
      </c>
      <c r="O251" s="600">
        <f t="shared" si="61"/>
        <v>0</v>
      </c>
      <c r="P251" s="599">
        <f>M251+J251+G251</f>
        <v>291.10000000000002</v>
      </c>
      <c r="Q251" s="599">
        <f>H251+K251+N251</f>
        <v>63.18</v>
      </c>
      <c r="R251" s="600">
        <f t="shared" si="62"/>
        <v>21.703881827550667</v>
      </c>
    </row>
    <row r="252" spans="1:18">
      <c r="A252" s="442" t="s">
        <v>505</v>
      </c>
      <c r="B252" s="442">
        <f>SUM(B250:B251)</f>
        <v>9</v>
      </c>
      <c r="C252" s="444">
        <f>SUM(C250:C251)</f>
        <v>206.42</v>
      </c>
      <c r="D252" s="599">
        <f>SUM(D250:D251)</f>
        <v>0</v>
      </c>
      <c r="E252" s="599">
        <f>SUM(E250:E251)</f>
        <v>340.5</v>
      </c>
      <c r="F252" s="599">
        <f>F250+F251</f>
        <v>138.97999999999999</v>
      </c>
      <c r="G252" s="599">
        <f t="shared" si="63"/>
        <v>546.91999999999996</v>
      </c>
      <c r="H252" s="599">
        <v>43.18</v>
      </c>
      <c r="I252" s="600">
        <f>(H252/G252*100)</f>
        <v>7.8951217728369789</v>
      </c>
      <c r="J252" s="599">
        <f>SUM(J250:J251)</f>
        <v>244.8</v>
      </c>
      <c r="K252" s="599">
        <f>K250+K251</f>
        <v>4</v>
      </c>
      <c r="L252" s="600">
        <f t="shared" si="60"/>
        <v>1.6339869281045754</v>
      </c>
      <c r="M252" s="599">
        <f>SUM(M250:M251)</f>
        <v>1032.55</v>
      </c>
      <c r="N252" s="599">
        <f>SUM(N250:N251)</f>
        <v>246.71</v>
      </c>
      <c r="O252" s="600">
        <f t="shared" si="61"/>
        <v>23.893273933465693</v>
      </c>
      <c r="P252" s="599">
        <f>SUM(P250:P251)</f>
        <v>1824.27</v>
      </c>
      <c r="Q252" s="599">
        <f>SUM(Q250:Q251)</f>
        <v>389.69</v>
      </c>
      <c r="R252" s="600">
        <f t="shared" si="62"/>
        <v>21.361421280841103</v>
      </c>
    </row>
    <row r="253" spans="1:18">
      <c r="A253" s="445"/>
      <c r="B253" s="445"/>
      <c r="C253" s="605"/>
      <c r="D253" s="446"/>
      <c r="E253" s="446"/>
      <c r="F253" s="446"/>
      <c r="G253" s="446"/>
      <c r="H253" s="446"/>
      <c r="I253" s="445"/>
      <c r="J253" s="446"/>
      <c r="K253" s="446"/>
      <c r="L253" s="445"/>
      <c r="M253" s="446"/>
      <c r="N253" s="446"/>
      <c r="O253" s="445"/>
      <c r="P253" s="446"/>
      <c r="Q253" s="446"/>
      <c r="R253" s="445"/>
    </row>
    <row r="254" spans="1:18">
      <c r="A254" s="445"/>
      <c r="B254" s="445"/>
      <c r="C254" s="605"/>
      <c r="D254" s="446"/>
      <c r="E254" s="446"/>
      <c r="F254" s="446"/>
      <c r="G254" s="446"/>
      <c r="H254" s="446"/>
      <c r="I254" s="445"/>
      <c r="J254" s="446"/>
      <c r="K254" s="446"/>
      <c r="L254" s="445"/>
      <c r="M254" s="446"/>
      <c r="N254" s="446"/>
      <c r="O254" s="445"/>
      <c r="P254" s="446"/>
      <c r="Q254" s="446"/>
      <c r="R254" s="445"/>
    </row>
    <row r="255" spans="1:18" s="741" customFormat="1">
      <c r="A255" s="445"/>
      <c r="B255" s="445"/>
      <c r="C255" s="605"/>
      <c r="D255" s="446"/>
      <c r="E255" s="446"/>
      <c r="F255" s="446"/>
      <c r="G255" s="446"/>
      <c r="H255" s="446"/>
      <c r="I255" s="445"/>
      <c r="J255" s="446"/>
      <c r="K255" s="446"/>
      <c r="L255" s="445"/>
      <c r="M255" s="446"/>
      <c r="N255" s="446"/>
      <c r="O255" s="445"/>
      <c r="P255" s="446"/>
      <c r="Q255" s="446"/>
      <c r="R255" s="445"/>
    </row>
    <row r="256" spans="1:18" s="741" customFormat="1">
      <c r="A256" s="445"/>
      <c r="B256" s="445"/>
      <c r="C256" s="605"/>
      <c r="D256" s="446"/>
      <c r="E256" s="446"/>
      <c r="F256" s="446"/>
      <c r="G256" s="446"/>
      <c r="H256" s="446"/>
      <c r="I256" s="445"/>
      <c r="J256" s="446"/>
      <c r="K256" s="446"/>
      <c r="L256" s="445"/>
      <c r="M256" s="446"/>
      <c r="N256" s="446"/>
      <c r="O256" s="445"/>
      <c r="P256" s="446"/>
      <c r="Q256" s="446"/>
      <c r="R256" s="445"/>
    </row>
    <row r="257" spans="1:18">
      <c r="A257" s="445"/>
      <c r="B257" s="445"/>
      <c r="C257" s="605"/>
      <c r="D257" s="446"/>
      <c r="E257" s="446"/>
      <c r="F257" s="446"/>
      <c r="G257" s="446"/>
      <c r="H257" s="446"/>
      <c r="I257" s="445"/>
      <c r="J257" s="446"/>
      <c r="K257" s="446"/>
      <c r="L257" s="445"/>
      <c r="M257" s="446"/>
      <c r="N257" s="446"/>
      <c r="O257" s="445"/>
      <c r="P257" s="446"/>
      <c r="Q257" s="446"/>
      <c r="R257" s="445"/>
    </row>
    <row r="258" spans="1:18">
      <c r="A258" s="445"/>
      <c r="B258" s="445"/>
      <c r="C258" s="605"/>
      <c r="D258" s="446"/>
      <c r="E258" s="446"/>
      <c r="F258" s="446"/>
      <c r="G258" s="440"/>
      <c r="H258" s="440"/>
      <c r="I258" s="439"/>
      <c r="J258" s="576"/>
      <c r="K258" s="576"/>
      <c r="L258" s="633"/>
      <c r="M258" s="440"/>
      <c r="N258" s="440"/>
      <c r="O258" s="445"/>
      <c r="P258" s="446"/>
      <c r="Q258" s="446"/>
      <c r="R258" s="445"/>
    </row>
    <row r="259" spans="1:18" ht="15.75">
      <c r="A259" s="1624">
        <v>51</v>
      </c>
      <c r="B259" s="1624"/>
      <c r="C259" s="1624"/>
      <c r="D259" s="1624"/>
      <c r="E259" s="1624"/>
      <c r="F259" s="1624"/>
      <c r="G259" s="1624"/>
      <c r="H259" s="1624"/>
      <c r="I259" s="1624"/>
      <c r="J259" s="1624"/>
      <c r="K259" s="1624"/>
      <c r="L259" s="1624"/>
      <c r="M259" s="1624"/>
      <c r="N259" s="1624"/>
      <c r="O259" s="1624"/>
      <c r="P259" s="1624"/>
      <c r="Q259" s="1624"/>
      <c r="R259" s="1624"/>
    </row>
    <row r="260" spans="1:18" ht="15.75">
      <c r="A260" s="1043"/>
      <c r="B260" s="1043"/>
      <c r="C260" s="1043"/>
      <c r="D260" s="1043"/>
      <c r="E260" s="1043"/>
      <c r="F260" s="1043"/>
      <c r="G260" s="1043"/>
      <c r="H260" s="1043"/>
      <c r="I260" s="1043"/>
      <c r="J260" s="1043"/>
      <c r="K260" s="1043"/>
      <c r="L260" s="1043"/>
      <c r="M260" s="1043"/>
      <c r="N260" s="1043"/>
      <c r="O260" s="1043"/>
      <c r="P260" s="1043"/>
      <c r="Q260" s="1043"/>
      <c r="R260" s="1043"/>
    </row>
    <row r="261" spans="1:18" ht="15.75">
      <c r="A261" s="1043"/>
      <c r="B261" s="1043"/>
      <c r="C261" s="1043"/>
      <c r="D261" s="1043"/>
      <c r="E261" s="1043"/>
      <c r="F261" s="1043"/>
      <c r="G261" s="1043"/>
      <c r="H261" s="1043"/>
      <c r="I261" s="1043"/>
      <c r="J261" s="1043"/>
      <c r="K261" s="1043"/>
      <c r="L261" s="1043"/>
      <c r="M261" s="1043"/>
      <c r="N261" s="1043"/>
      <c r="O261" s="1043"/>
      <c r="P261" s="1043"/>
      <c r="Q261" s="1043"/>
      <c r="R261" s="1043"/>
    </row>
    <row r="262" spans="1:18" ht="15.75">
      <c r="A262" s="1043"/>
      <c r="B262" s="1043"/>
      <c r="C262" s="1043"/>
      <c r="D262" s="1043"/>
      <c r="E262" s="1043"/>
      <c r="F262" s="1043"/>
      <c r="G262" s="1043"/>
      <c r="H262" s="1043"/>
      <c r="I262" s="1043"/>
      <c r="J262" s="1043"/>
      <c r="K262" s="1043"/>
      <c r="L262" s="1043"/>
      <c r="M262" s="1043"/>
      <c r="N262" s="1043"/>
      <c r="O262" s="1043"/>
      <c r="P262" s="1043"/>
      <c r="Q262" s="1043"/>
      <c r="R262" s="1043"/>
    </row>
    <row r="263" spans="1:18">
      <c r="A263" s="445"/>
      <c r="B263" s="445"/>
      <c r="C263" s="605"/>
      <c r="D263" s="446"/>
      <c r="E263" s="446"/>
      <c r="F263" s="446"/>
      <c r="G263" s="591" t="s">
        <v>620</v>
      </c>
      <c r="H263" s="591"/>
      <c r="I263" s="592"/>
      <c r="J263" s="440"/>
      <c r="K263" s="440"/>
      <c r="L263" s="439"/>
      <c r="M263" s="440"/>
      <c r="N263" s="440"/>
      <c r="O263" s="445"/>
      <c r="P263" s="446"/>
      <c r="Q263" s="446"/>
      <c r="R263" s="445"/>
    </row>
    <row r="264" spans="1:18">
      <c r="A264" s="445"/>
      <c r="B264" s="445"/>
      <c r="C264" s="605"/>
      <c r="D264" s="446"/>
      <c r="E264" s="446"/>
      <c r="F264" s="446"/>
      <c r="G264" s="585"/>
      <c r="H264" s="585"/>
      <c r="I264" s="634"/>
      <c r="J264" s="446"/>
      <c r="K264" s="446"/>
      <c r="L264" s="445"/>
      <c r="M264" s="446"/>
      <c r="N264" s="446"/>
      <c r="O264" s="445"/>
      <c r="P264" s="446"/>
      <c r="Q264" s="1619" t="s">
        <v>315</v>
      </c>
      <c r="R264" s="1620"/>
    </row>
    <row r="265" spans="1:18">
      <c r="A265" s="1622" t="s">
        <v>514</v>
      </c>
      <c r="B265" s="1622" t="s">
        <v>497</v>
      </c>
      <c r="C265" s="1622" t="s">
        <v>484</v>
      </c>
      <c r="D265" s="1622"/>
      <c r="E265" s="1622" t="s">
        <v>485</v>
      </c>
      <c r="F265" s="1622"/>
      <c r="G265" s="1625" t="s">
        <v>486</v>
      </c>
      <c r="H265" s="1625"/>
      <c r="I265" s="1625"/>
      <c r="J265" s="1625" t="s">
        <v>487</v>
      </c>
      <c r="K265" s="1625"/>
      <c r="L265" s="1625"/>
      <c r="M265" s="1625" t="s">
        <v>488</v>
      </c>
      <c r="N265" s="1625"/>
      <c r="O265" s="1625"/>
      <c r="P265" s="1625" t="s">
        <v>489</v>
      </c>
      <c r="Q265" s="1625"/>
      <c r="R265" s="1625"/>
    </row>
    <row r="266" spans="1:18">
      <c r="A266" s="1622"/>
      <c r="B266" s="1622"/>
      <c r="C266" s="597" t="s">
        <v>530</v>
      </c>
      <c r="D266" s="441" t="s">
        <v>531</v>
      </c>
      <c r="E266" s="441" t="s">
        <v>490</v>
      </c>
      <c r="F266" s="441" t="s">
        <v>531</v>
      </c>
      <c r="G266" s="441" t="s">
        <v>490</v>
      </c>
      <c r="H266" s="441" t="s">
        <v>531</v>
      </c>
      <c r="I266" s="1042" t="s">
        <v>532</v>
      </c>
      <c r="J266" s="441" t="s">
        <v>490</v>
      </c>
      <c r="K266" s="441" t="s">
        <v>531</v>
      </c>
      <c r="L266" s="1042" t="s">
        <v>532</v>
      </c>
      <c r="M266" s="441" t="s">
        <v>490</v>
      </c>
      <c r="N266" s="441" t="s">
        <v>531</v>
      </c>
      <c r="O266" s="1042" t="s">
        <v>532</v>
      </c>
      <c r="P266" s="441" t="s">
        <v>490</v>
      </c>
      <c r="Q266" s="441" t="s">
        <v>531</v>
      </c>
      <c r="R266" s="1042" t="s">
        <v>532</v>
      </c>
    </row>
    <row r="267" spans="1:18">
      <c r="A267" s="442" t="s">
        <v>515</v>
      </c>
      <c r="B267" s="442">
        <f t="shared" ref="B267:H267" si="64">B13</f>
        <v>11</v>
      </c>
      <c r="C267" s="443">
        <f t="shared" si="64"/>
        <v>302.89999999999998</v>
      </c>
      <c r="D267" s="599">
        <f>D13</f>
        <v>159.65</v>
      </c>
      <c r="E267" s="599">
        <f t="shared" si="64"/>
        <v>362.26</v>
      </c>
      <c r="F267" s="599">
        <f t="shared" si="64"/>
        <v>284.48</v>
      </c>
      <c r="G267" s="599">
        <f t="shared" si="64"/>
        <v>665.16000000000008</v>
      </c>
      <c r="H267" s="599">
        <f t="shared" si="64"/>
        <v>444.13</v>
      </c>
      <c r="I267" s="600">
        <f>H267/G267*100</f>
        <v>66.770401106500685</v>
      </c>
      <c r="J267" s="599">
        <f>J13</f>
        <v>224.19</v>
      </c>
      <c r="K267" s="599">
        <f>K13</f>
        <v>118</v>
      </c>
      <c r="L267" s="600">
        <f>K267/J267*100</f>
        <v>52.633926580132929</v>
      </c>
      <c r="M267" s="599">
        <f>M13</f>
        <v>1472.05</v>
      </c>
      <c r="N267" s="599">
        <f>N13</f>
        <v>468.62</v>
      </c>
      <c r="O267" s="600">
        <f>N267/M267*100</f>
        <v>31.83451649060834</v>
      </c>
      <c r="P267" s="599">
        <f>P13</f>
        <v>2361.4000000000005</v>
      </c>
      <c r="Q267" s="599">
        <f>H267+K267+N267</f>
        <v>1030.75</v>
      </c>
      <c r="R267" s="600">
        <f>Q267/P267*100</f>
        <v>43.649953417464204</v>
      </c>
    </row>
    <row r="268" spans="1:18">
      <c r="A268" s="442" t="s">
        <v>516</v>
      </c>
      <c r="B268" s="586">
        <f t="shared" ref="B268:H268" si="65">B21</f>
        <v>4</v>
      </c>
      <c r="C268" s="635">
        <f t="shared" si="65"/>
        <v>43.63</v>
      </c>
      <c r="D268" s="636">
        <f t="shared" si="65"/>
        <v>0</v>
      </c>
      <c r="E268" s="636">
        <f t="shared" si="65"/>
        <v>291.39999999999998</v>
      </c>
      <c r="F268" s="636">
        <f t="shared" si="65"/>
        <v>52.02</v>
      </c>
      <c r="G268" s="636">
        <f t="shared" si="65"/>
        <v>335.03</v>
      </c>
      <c r="H268" s="599">
        <f t="shared" si="65"/>
        <v>52.02</v>
      </c>
      <c r="I268" s="600">
        <f t="shared" ref="I268:I287" si="66">H268/G268*100</f>
        <v>15.526967734232757</v>
      </c>
      <c r="J268" s="636">
        <f>J21</f>
        <v>43</v>
      </c>
      <c r="K268" s="636">
        <f>K21</f>
        <v>0</v>
      </c>
      <c r="L268" s="600">
        <f t="shared" ref="L268:L287" si="67">(K268/J268*100)</f>
        <v>0</v>
      </c>
      <c r="M268" s="636">
        <f>M21</f>
        <v>325.64999999999998</v>
      </c>
      <c r="N268" s="636">
        <f>N21</f>
        <v>0</v>
      </c>
      <c r="O268" s="600">
        <f t="shared" ref="O268:O287" si="68">N268/M268*100</f>
        <v>0</v>
      </c>
      <c r="P268" s="636">
        <f>P21</f>
        <v>703.68000000000006</v>
      </c>
      <c r="Q268" s="599">
        <f t="shared" ref="Q268:Q287" si="69">H268+K268+N268</f>
        <v>52.02</v>
      </c>
      <c r="R268" s="600">
        <f t="shared" ref="R268:R287" si="70">Q268/P268*100</f>
        <v>7.392564802182811</v>
      </c>
    </row>
    <row r="269" spans="1:18">
      <c r="A269" s="442" t="s">
        <v>517</v>
      </c>
      <c r="B269" s="586">
        <f t="shared" ref="B269:H269" si="71">B28</f>
        <v>1</v>
      </c>
      <c r="C269" s="635">
        <f t="shared" si="71"/>
        <v>32.5</v>
      </c>
      <c r="D269" s="636">
        <f t="shared" si="71"/>
        <v>0</v>
      </c>
      <c r="E269" s="636">
        <f t="shared" si="71"/>
        <v>38</v>
      </c>
      <c r="F269" s="636">
        <f t="shared" si="71"/>
        <v>0</v>
      </c>
      <c r="G269" s="636">
        <f t="shared" si="71"/>
        <v>70.5</v>
      </c>
      <c r="H269" s="599">
        <f t="shared" si="71"/>
        <v>0</v>
      </c>
      <c r="I269" s="600">
        <f t="shared" si="66"/>
        <v>0</v>
      </c>
      <c r="J269" s="636">
        <f>J28</f>
        <v>26.75</v>
      </c>
      <c r="K269" s="636">
        <f>K28</f>
        <v>0</v>
      </c>
      <c r="L269" s="600">
        <f t="shared" si="67"/>
        <v>0</v>
      </c>
      <c r="M269" s="636">
        <f>M28</f>
        <v>170</v>
      </c>
      <c r="N269" s="636">
        <f>N28</f>
        <v>0</v>
      </c>
      <c r="O269" s="600">
        <f t="shared" si="68"/>
        <v>0</v>
      </c>
      <c r="P269" s="636">
        <f>P28</f>
        <v>267.25</v>
      </c>
      <c r="Q269" s="599">
        <f t="shared" si="69"/>
        <v>0</v>
      </c>
      <c r="R269" s="600">
        <f t="shared" si="70"/>
        <v>0</v>
      </c>
    </row>
    <row r="270" spans="1:18">
      <c r="A270" s="442" t="s">
        <v>518</v>
      </c>
      <c r="B270" s="586">
        <f t="shared" ref="B270:H270" si="72">B38</f>
        <v>7</v>
      </c>
      <c r="C270" s="635">
        <f t="shared" si="72"/>
        <v>168.45</v>
      </c>
      <c r="D270" s="636">
        <f t="shared" si="72"/>
        <v>19.73</v>
      </c>
      <c r="E270" s="636">
        <f t="shared" si="72"/>
        <v>189.2</v>
      </c>
      <c r="F270" s="636">
        <f t="shared" si="72"/>
        <v>0</v>
      </c>
      <c r="G270" s="636">
        <f t="shared" si="72"/>
        <v>357.65000000000003</v>
      </c>
      <c r="H270" s="599">
        <f t="shared" si="72"/>
        <v>19.73</v>
      </c>
      <c r="I270" s="600">
        <f t="shared" si="66"/>
        <v>5.5165664756046411</v>
      </c>
      <c r="J270" s="636">
        <f>J38</f>
        <v>62.339999999999996</v>
      </c>
      <c r="K270" s="636">
        <f>K38</f>
        <v>7.44</v>
      </c>
      <c r="L270" s="600">
        <f t="shared" si="67"/>
        <v>11.934552454282965</v>
      </c>
      <c r="M270" s="636">
        <f>M38</f>
        <v>623.84999999999991</v>
      </c>
      <c r="N270" s="636">
        <f>N38</f>
        <v>463.81</v>
      </c>
      <c r="O270" s="600">
        <f t="shared" si="68"/>
        <v>74.346397371162951</v>
      </c>
      <c r="P270" s="636">
        <f>P38</f>
        <v>1043.8399999999999</v>
      </c>
      <c r="Q270" s="599">
        <f t="shared" si="69"/>
        <v>490.98</v>
      </c>
      <c r="R270" s="600">
        <f t="shared" si="70"/>
        <v>47.035944206008587</v>
      </c>
    </row>
    <row r="271" spans="1:18">
      <c r="A271" s="442" t="s">
        <v>519</v>
      </c>
      <c r="B271" s="586">
        <f t="shared" ref="B271:H271" si="73">B59</f>
        <v>17</v>
      </c>
      <c r="C271" s="635">
        <f t="shared" si="73"/>
        <v>456.03</v>
      </c>
      <c r="D271" s="636">
        <f t="shared" si="73"/>
        <v>25.15</v>
      </c>
      <c r="E271" s="636">
        <f t="shared" si="73"/>
        <v>480.07</v>
      </c>
      <c r="F271" s="636">
        <f t="shared" si="73"/>
        <v>63.28</v>
      </c>
      <c r="G271" s="636">
        <f t="shared" si="73"/>
        <v>936.09999999999991</v>
      </c>
      <c r="H271" s="599">
        <f t="shared" si="73"/>
        <v>88.43</v>
      </c>
      <c r="I271" s="600">
        <f t="shared" si="66"/>
        <v>9.446640316205535</v>
      </c>
      <c r="J271" s="636">
        <f>J59</f>
        <v>748.34</v>
      </c>
      <c r="K271" s="636">
        <f>K59</f>
        <v>335.15999999999997</v>
      </c>
      <c r="L271" s="600">
        <f t="shared" si="67"/>
        <v>44.787128845177321</v>
      </c>
      <c r="M271" s="636">
        <f>M59</f>
        <v>2084.85</v>
      </c>
      <c r="N271" s="636">
        <f>N59</f>
        <v>260.82</v>
      </c>
      <c r="O271" s="600">
        <f t="shared" si="68"/>
        <v>12.510252536153679</v>
      </c>
      <c r="P271" s="636">
        <f>P59</f>
        <v>3769.29</v>
      </c>
      <c r="Q271" s="599">
        <f t="shared" si="69"/>
        <v>684.41</v>
      </c>
      <c r="R271" s="600">
        <f t="shared" si="70"/>
        <v>18.157530993900707</v>
      </c>
    </row>
    <row r="272" spans="1:18">
      <c r="A272" s="442" t="s">
        <v>520</v>
      </c>
      <c r="B272" s="586">
        <f t="shared" ref="B272:H272" si="74">B71</f>
        <v>16</v>
      </c>
      <c r="C272" s="635">
        <f t="shared" si="74"/>
        <v>391.70000000000005</v>
      </c>
      <c r="D272" s="636">
        <f t="shared" si="74"/>
        <v>54.11</v>
      </c>
      <c r="E272" s="636">
        <f t="shared" si="74"/>
        <v>746.7</v>
      </c>
      <c r="F272" s="636">
        <f t="shared" si="74"/>
        <v>111.97</v>
      </c>
      <c r="G272" s="636">
        <f t="shared" si="74"/>
        <v>1138.4000000000001</v>
      </c>
      <c r="H272" s="599">
        <f t="shared" si="74"/>
        <v>166.07999999999998</v>
      </c>
      <c r="I272" s="600">
        <f t="shared" si="66"/>
        <v>14.588896697118761</v>
      </c>
      <c r="J272" s="636">
        <f>J71</f>
        <v>416.79999999999995</v>
      </c>
      <c r="K272" s="636">
        <f>K71</f>
        <v>10.199999999999999</v>
      </c>
      <c r="L272" s="600">
        <f t="shared" si="67"/>
        <v>2.4472168905950098</v>
      </c>
      <c r="M272" s="636">
        <f>M71</f>
        <v>2406.1000000000004</v>
      </c>
      <c r="N272" s="636">
        <f>N71</f>
        <v>813</v>
      </c>
      <c r="O272" s="600">
        <f t="shared" si="68"/>
        <v>33.789119321723945</v>
      </c>
      <c r="P272" s="636">
        <f>P71</f>
        <v>3961.3</v>
      </c>
      <c r="Q272" s="599">
        <f t="shared" si="69"/>
        <v>989.28</v>
      </c>
      <c r="R272" s="600">
        <f t="shared" si="70"/>
        <v>24.973619771287204</v>
      </c>
    </row>
    <row r="273" spans="1:18">
      <c r="A273" s="442" t="s">
        <v>29</v>
      </c>
      <c r="B273" s="586">
        <f t="shared" ref="B273:H273" si="75">B80</f>
        <v>4</v>
      </c>
      <c r="C273" s="635">
        <f t="shared" si="75"/>
        <v>102.5</v>
      </c>
      <c r="D273" s="636">
        <f t="shared" si="75"/>
        <v>22.8</v>
      </c>
      <c r="E273" s="636">
        <f t="shared" si="75"/>
        <v>61.9</v>
      </c>
      <c r="F273" s="636">
        <f t="shared" si="75"/>
        <v>0</v>
      </c>
      <c r="G273" s="636">
        <f t="shared" si="75"/>
        <v>164.4</v>
      </c>
      <c r="H273" s="599">
        <f t="shared" si="75"/>
        <v>22.8</v>
      </c>
      <c r="I273" s="600">
        <f t="shared" si="66"/>
        <v>13.868613138686131</v>
      </c>
      <c r="J273" s="636">
        <f>J80</f>
        <v>33.15</v>
      </c>
      <c r="K273" s="636">
        <f>K80</f>
        <v>0</v>
      </c>
      <c r="L273" s="600">
        <f t="shared" si="67"/>
        <v>0</v>
      </c>
      <c r="M273" s="636">
        <f>M80</f>
        <v>447.7</v>
      </c>
      <c r="N273" s="636">
        <f>N80</f>
        <v>0</v>
      </c>
      <c r="O273" s="600">
        <f t="shared" si="68"/>
        <v>0</v>
      </c>
      <c r="P273" s="636">
        <f>P80</f>
        <v>645.25</v>
      </c>
      <c r="Q273" s="599">
        <f t="shared" si="69"/>
        <v>22.8</v>
      </c>
      <c r="R273" s="600">
        <f t="shared" si="70"/>
        <v>3.5335141418055023</v>
      </c>
    </row>
    <row r="274" spans="1:18">
      <c r="A274" s="442" t="s">
        <v>521</v>
      </c>
      <c r="B274" s="586">
        <f t="shared" ref="B274:H274" si="76">B95</f>
        <v>7</v>
      </c>
      <c r="C274" s="635">
        <f t="shared" si="76"/>
        <v>121.75</v>
      </c>
      <c r="D274" s="636">
        <f t="shared" si="76"/>
        <v>13.4</v>
      </c>
      <c r="E274" s="636">
        <f t="shared" si="76"/>
        <v>345.95</v>
      </c>
      <c r="F274" s="636">
        <f t="shared" si="76"/>
        <v>2.0299999999999998</v>
      </c>
      <c r="G274" s="636">
        <f t="shared" si="76"/>
        <v>467.7</v>
      </c>
      <c r="H274" s="599">
        <f t="shared" si="76"/>
        <v>15.43</v>
      </c>
      <c r="I274" s="600">
        <f t="shared" si="66"/>
        <v>3.2991233696814199</v>
      </c>
      <c r="J274" s="636">
        <f>J95</f>
        <v>73.95</v>
      </c>
      <c r="K274" s="636">
        <f>K95</f>
        <v>0</v>
      </c>
      <c r="L274" s="600">
        <f t="shared" si="67"/>
        <v>0</v>
      </c>
      <c r="M274" s="636">
        <f>M95</f>
        <v>680.75</v>
      </c>
      <c r="N274" s="636">
        <f>N95</f>
        <v>227.31</v>
      </c>
      <c r="O274" s="600">
        <f t="shared" si="68"/>
        <v>33.391112743297832</v>
      </c>
      <c r="P274" s="636">
        <f>P95</f>
        <v>1222.4000000000001</v>
      </c>
      <c r="Q274" s="599">
        <f t="shared" si="69"/>
        <v>242.74</v>
      </c>
      <c r="R274" s="600">
        <f t="shared" si="70"/>
        <v>19.857657068062824</v>
      </c>
    </row>
    <row r="275" spans="1:18">
      <c r="A275" s="442" t="s">
        <v>259</v>
      </c>
      <c r="B275" s="586">
        <f t="shared" ref="B275:H275" si="77">B103</f>
        <v>2</v>
      </c>
      <c r="C275" s="635">
        <f t="shared" si="77"/>
        <v>36.200000000000003</v>
      </c>
      <c r="D275" s="636">
        <f t="shared" si="77"/>
        <v>25.81</v>
      </c>
      <c r="E275" s="636">
        <f t="shared" si="77"/>
        <v>122.5</v>
      </c>
      <c r="F275" s="636">
        <f t="shared" si="77"/>
        <v>16.440000000000001</v>
      </c>
      <c r="G275" s="636">
        <f t="shared" si="77"/>
        <v>158.69999999999999</v>
      </c>
      <c r="H275" s="599">
        <f t="shared" si="77"/>
        <v>42.25</v>
      </c>
      <c r="I275" s="600">
        <f t="shared" si="66"/>
        <v>26.622558286074355</v>
      </c>
      <c r="J275" s="636">
        <f>J103</f>
        <v>32.25</v>
      </c>
      <c r="K275" s="636">
        <f>K103</f>
        <v>0</v>
      </c>
      <c r="L275" s="600">
        <f t="shared" si="67"/>
        <v>0</v>
      </c>
      <c r="M275" s="636">
        <f>M103</f>
        <v>222</v>
      </c>
      <c r="N275" s="636">
        <f>N103</f>
        <v>0.5</v>
      </c>
      <c r="O275" s="600">
        <f t="shared" si="68"/>
        <v>0.22522522522522523</v>
      </c>
      <c r="P275" s="636">
        <f>P103</f>
        <v>412.95</v>
      </c>
      <c r="Q275" s="599">
        <f t="shared" si="69"/>
        <v>42.75</v>
      </c>
      <c r="R275" s="600">
        <f t="shared" si="70"/>
        <v>10.352342898656012</v>
      </c>
    </row>
    <row r="276" spans="1:18">
      <c r="A276" s="442" t="s">
        <v>522</v>
      </c>
      <c r="B276" s="586">
        <f t="shared" ref="B276:H276" si="78">B114</f>
        <v>6</v>
      </c>
      <c r="C276" s="635">
        <f t="shared" si="78"/>
        <v>123.5</v>
      </c>
      <c r="D276" s="636">
        <f t="shared" si="78"/>
        <v>79.11</v>
      </c>
      <c r="E276" s="636">
        <f t="shared" si="78"/>
        <v>227.3</v>
      </c>
      <c r="F276" s="636">
        <f t="shared" si="78"/>
        <v>16.77</v>
      </c>
      <c r="G276" s="636">
        <f t="shared" si="78"/>
        <v>350.8</v>
      </c>
      <c r="H276" s="599">
        <f t="shared" si="78"/>
        <v>95.88</v>
      </c>
      <c r="I276" s="600">
        <f t="shared" si="66"/>
        <v>27.331812998859746</v>
      </c>
      <c r="J276" s="636">
        <f>J114</f>
        <v>96.5</v>
      </c>
      <c r="K276" s="636">
        <f>K114</f>
        <v>0</v>
      </c>
      <c r="L276" s="600">
        <f t="shared" si="67"/>
        <v>0</v>
      </c>
      <c r="M276" s="636">
        <f>M114</f>
        <v>838.99999999999989</v>
      </c>
      <c r="N276" s="636">
        <f>N114</f>
        <v>6.07</v>
      </c>
      <c r="O276" s="600">
        <f t="shared" si="68"/>
        <v>0.72348033373063181</v>
      </c>
      <c r="P276" s="636">
        <f>P114</f>
        <v>1286.3</v>
      </c>
      <c r="Q276" s="599">
        <f t="shared" si="69"/>
        <v>101.94999999999999</v>
      </c>
      <c r="R276" s="600">
        <f t="shared" si="70"/>
        <v>7.9258337868304425</v>
      </c>
    </row>
    <row r="277" spans="1:18">
      <c r="A277" s="442" t="s">
        <v>33</v>
      </c>
      <c r="B277" s="586">
        <f t="shared" ref="B277:H277" si="79">B123</f>
        <v>4</v>
      </c>
      <c r="C277" s="635">
        <f t="shared" si="79"/>
        <v>90.3</v>
      </c>
      <c r="D277" s="636">
        <f t="shared" si="79"/>
        <v>100.24</v>
      </c>
      <c r="E277" s="636">
        <f t="shared" si="79"/>
        <v>169.7</v>
      </c>
      <c r="F277" s="636">
        <f t="shared" si="79"/>
        <v>32.35</v>
      </c>
      <c r="G277" s="636">
        <f t="shared" si="79"/>
        <v>260</v>
      </c>
      <c r="H277" s="599">
        <f t="shared" si="79"/>
        <v>132.59</v>
      </c>
      <c r="I277" s="600">
        <f t="shared" si="66"/>
        <v>50.996153846153845</v>
      </c>
      <c r="J277" s="636">
        <f>J123</f>
        <v>61.15</v>
      </c>
      <c r="K277" s="636">
        <f>K123</f>
        <v>19.899999999999999</v>
      </c>
      <c r="L277" s="600">
        <f t="shared" si="67"/>
        <v>32.542927228127553</v>
      </c>
      <c r="M277" s="636">
        <f>M123</f>
        <v>484.55</v>
      </c>
      <c r="N277" s="636">
        <f>N123</f>
        <v>9</v>
      </c>
      <c r="O277" s="600">
        <f t="shared" si="68"/>
        <v>1.8573934578474873</v>
      </c>
      <c r="P277" s="636">
        <f>P123</f>
        <v>805.7</v>
      </c>
      <c r="Q277" s="599">
        <f t="shared" si="69"/>
        <v>161.49</v>
      </c>
      <c r="R277" s="600">
        <f t="shared" si="70"/>
        <v>20.043440486533449</v>
      </c>
    </row>
    <row r="278" spans="1:18">
      <c r="A278" s="442" t="s">
        <v>34</v>
      </c>
      <c r="B278" s="586">
        <f t="shared" ref="B278:H278" si="80">B140</f>
        <v>8</v>
      </c>
      <c r="C278" s="635">
        <f t="shared" si="80"/>
        <v>203.29999999999998</v>
      </c>
      <c r="D278" s="636">
        <f t="shared" si="80"/>
        <v>1.34</v>
      </c>
      <c r="E278" s="636">
        <f t="shared" si="80"/>
        <v>382</v>
      </c>
      <c r="F278" s="636">
        <f t="shared" si="80"/>
        <v>5.31</v>
      </c>
      <c r="G278" s="636">
        <f t="shared" si="80"/>
        <v>585.29999999999995</v>
      </c>
      <c r="H278" s="599">
        <f t="shared" si="80"/>
        <v>6.6499999999999995</v>
      </c>
      <c r="I278" s="600">
        <f t="shared" si="66"/>
        <v>1.1361694857338118</v>
      </c>
      <c r="J278" s="636">
        <f>J140</f>
        <v>148.44999999999999</v>
      </c>
      <c r="K278" s="636">
        <f>K140</f>
        <v>0.5</v>
      </c>
      <c r="L278" s="600">
        <f t="shared" si="67"/>
        <v>0.33681374200067365</v>
      </c>
      <c r="M278" s="636">
        <f>M140</f>
        <v>1473.9999999999998</v>
      </c>
      <c r="N278" s="636">
        <f>N140</f>
        <v>29.75</v>
      </c>
      <c r="O278" s="600">
        <f t="shared" si="68"/>
        <v>2.0183175033921303</v>
      </c>
      <c r="P278" s="636">
        <f>P140</f>
        <v>2207.75</v>
      </c>
      <c r="Q278" s="599">
        <f t="shared" si="69"/>
        <v>36.9</v>
      </c>
      <c r="R278" s="600">
        <f t="shared" si="70"/>
        <v>1.6713848941229756</v>
      </c>
    </row>
    <row r="279" spans="1:18">
      <c r="A279" s="442" t="s">
        <v>37</v>
      </c>
      <c r="B279" s="586">
        <f t="shared" ref="B279:H279" si="81">B148</f>
        <v>2</v>
      </c>
      <c r="C279" s="635">
        <f t="shared" si="81"/>
        <v>64.599999999999994</v>
      </c>
      <c r="D279" s="636">
        <f t="shared" si="81"/>
        <v>4.7699999999999996</v>
      </c>
      <c r="E279" s="636">
        <f t="shared" si="81"/>
        <v>75.900000000000006</v>
      </c>
      <c r="F279" s="636">
        <f t="shared" si="81"/>
        <v>0</v>
      </c>
      <c r="G279" s="636">
        <f t="shared" si="81"/>
        <v>140.5</v>
      </c>
      <c r="H279" s="599">
        <f t="shared" si="81"/>
        <v>4.7699999999999996</v>
      </c>
      <c r="I279" s="600">
        <f t="shared" si="66"/>
        <v>3.3950177935943056</v>
      </c>
      <c r="J279" s="636">
        <f>J148</f>
        <v>53.5</v>
      </c>
      <c r="K279" s="636">
        <f>K148</f>
        <v>0</v>
      </c>
      <c r="L279" s="600">
        <f t="shared" si="67"/>
        <v>0</v>
      </c>
      <c r="M279" s="636">
        <f>M148</f>
        <v>340</v>
      </c>
      <c r="N279" s="636">
        <f>N147</f>
        <v>0</v>
      </c>
      <c r="O279" s="600">
        <f t="shared" si="68"/>
        <v>0</v>
      </c>
      <c r="P279" s="636">
        <f>P148</f>
        <v>534</v>
      </c>
      <c r="Q279" s="599">
        <f t="shared" si="69"/>
        <v>4.7699999999999996</v>
      </c>
      <c r="R279" s="600">
        <f t="shared" si="70"/>
        <v>0.8932584269662921</v>
      </c>
    </row>
    <row r="280" spans="1:18">
      <c r="A280" s="442" t="s">
        <v>38</v>
      </c>
      <c r="B280" s="586">
        <f t="shared" ref="B280:H280" si="82">B157</f>
        <v>9</v>
      </c>
      <c r="C280" s="635">
        <f t="shared" si="82"/>
        <v>206.2</v>
      </c>
      <c r="D280" s="636">
        <f t="shared" si="82"/>
        <v>5</v>
      </c>
      <c r="E280" s="636">
        <f t="shared" si="82"/>
        <v>481.2</v>
      </c>
      <c r="F280" s="636">
        <f t="shared" si="82"/>
        <v>16.91</v>
      </c>
      <c r="G280" s="636">
        <f t="shared" si="82"/>
        <v>687.4</v>
      </c>
      <c r="H280" s="599">
        <f t="shared" si="82"/>
        <v>21.91</v>
      </c>
      <c r="I280" s="600">
        <f t="shared" si="66"/>
        <v>3.1873727087576373</v>
      </c>
      <c r="J280" s="636">
        <f>J157</f>
        <v>176.75</v>
      </c>
      <c r="K280" s="636">
        <f>K157</f>
        <v>0</v>
      </c>
      <c r="L280" s="600">
        <f t="shared" si="67"/>
        <v>0</v>
      </c>
      <c r="M280" s="636">
        <f>M157</f>
        <v>1175.8500000000001</v>
      </c>
      <c r="N280" s="636">
        <f>N157</f>
        <v>78.39</v>
      </c>
      <c r="O280" s="600">
        <f t="shared" si="68"/>
        <v>6.666666666666667</v>
      </c>
      <c r="P280" s="636">
        <f>P157</f>
        <v>2040</v>
      </c>
      <c r="Q280" s="599">
        <f t="shared" si="69"/>
        <v>100.3</v>
      </c>
      <c r="R280" s="600">
        <f t="shared" si="70"/>
        <v>4.9166666666666661</v>
      </c>
    </row>
    <row r="281" spans="1:18">
      <c r="A281" s="442" t="s">
        <v>40</v>
      </c>
      <c r="B281" s="586">
        <f t="shared" ref="B281:H281" si="83">B166</f>
        <v>4</v>
      </c>
      <c r="C281" s="635">
        <f t="shared" si="83"/>
        <v>72.5</v>
      </c>
      <c r="D281" s="636">
        <f t="shared" si="83"/>
        <v>12.81</v>
      </c>
      <c r="E281" s="636">
        <f t="shared" si="83"/>
        <v>244.9</v>
      </c>
      <c r="F281" s="636">
        <f t="shared" si="83"/>
        <v>108.5</v>
      </c>
      <c r="G281" s="636">
        <f t="shared" si="83"/>
        <v>317.39999999999998</v>
      </c>
      <c r="H281" s="599">
        <f t="shared" si="83"/>
        <v>121.31</v>
      </c>
      <c r="I281" s="600">
        <f t="shared" si="66"/>
        <v>38.219911783238821</v>
      </c>
      <c r="J281" s="636">
        <f>J166</f>
        <v>64.349999999999994</v>
      </c>
      <c r="K281" s="636">
        <f>K166</f>
        <v>1.8</v>
      </c>
      <c r="L281" s="600">
        <f t="shared" si="67"/>
        <v>2.7972027972027975</v>
      </c>
      <c r="M281" s="636">
        <f>M166</f>
        <v>443.8</v>
      </c>
      <c r="N281" s="636">
        <f>N166</f>
        <v>216.26</v>
      </c>
      <c r="O281" s="600">
        <f t="shared" si="68"/>
        <v>48.729157278053172</v>
      </c>
      <c r="P281" s="636">
        <f>P166</f>
        <v>825.55</v>
      </c>
      <c r="Q281" s="599">
        <f t="shared" si="69"/>
        <v>339.37</v>
      </c>
      <c r="R281" s="600">
        <f t="shared" si="70"/>
        <v>41.108352007752408</v>
      </c>
    </row>
    <row r="282" spans="1:18">
      <c r="A282" s="442" t="s">
        <v>39</v>
      </c>
      <c r="B282" s="586">
        <f t="shared" ref="B282:H282" si="84">B178</f>
        <v>3</v>
      </c>
      <c r="C282" s="635">
        <f t="shared" si="84"/>
        <v>97</v>
      </c>
      <c r="D282" s="636">
        <f t="shared" si="84"/>
        <v>0</v>
      </c>
      <c r="E282" s="636">
        <f t="shared" si="84"/>
        <v>113.9</v>
      </c>
      <c r="F282" s="636">
        <f t="shared" si="84"/>
        <v>0</v>
      </c>
      <c r="G282" s="636">
        <f t="shared" si="84"/>
        <v>210.9</v>
      </c>
      <c r="H282" s="599">
        <f t="shared" si="84"/>
        <v>0</v>
      </c>
      <c r="I282" s="600">
        <f t="shared" si="66"/>
        <v>0</v>
      </c>
      <c r="J282" s="636">
        <f>J178</f>
        <v>80.2</v>
      </c>
      <c r="K282" s="636">
        <f>K178</f>
        <v>0</v>
      </c>
      <c r="L282" s="600">
        <f t="shared" si="67"/>
        <v>0</v>
      </c>
      <c r="M282" s="636">
        <f>M178</f>
        <v>510</v>
      </c>
      <c r="N282" s="636">
        <f>N178</f>
        <v>1.9</v>
      </c>
      <c r="O282" s="600">
        <f t="shared" si="68"/>
        <v>0.37254901960784315</v>
      </c>
      <c r="P282" s="636">
        <f>P178</f>
        <v>801.1</v>
      </c>
      <c r="Q282" s="599">
        <f t="shared" si="69"/>
        <v>1.9</v>
      </c>
      <c r="R282" s="600">
        <f t="shared" si="70"/>
        <v>0.23717388590687802</v>
      </c>
    </row>
    <row r="283" spans="1:18">
      <c r="A283" s="442" t="s">
        <v>523</v>
      </c>
      <c r="B283" s="586">
        <v>56</v>
      </c>
      <c r="C283" s="635">
        <f t="shared" ref="C283:H283" si="85">C210</f>
        <v>1710.9000000000003</v>
      </c>
      <c r="D283" s="636">
        <f t="shared" si="85"/>
        <v>555.08999999999992</v>
      </c>
      <c r="E283" s="636">
        <f t="shared" si="85"/>
        <v>2550.7000000000003</v>
      </c>
      <c r="F283" s="636">
        <f t="shared" si="85"/>
        <v>2101.34</v>
      </c>
      <c r="G283" s="636">
        <f t="shared" si="85"/>
        <v>4261.6000000000004</v>
      </c>
      <c r="H283" s="599">
        <f t="shared" si="85"/>
        <v>2656.4300000000003</v>
      </c>
      <c r="I283" s="600">
        <f t="shared" si="66"/>
        <v>62.33409986859396</v>
      </c>
      <c r="J283" s="636">
        <f>J210</f>
        <v>3085.8899999999994</v>
      </c>
      <c r="K283" s="636">
        <f>K210</f>
        <v>3318.2420000000002</v>
      </c>
      <c r="L283" s="600">
        <f t="shared" si="67"/>
        <v>107.52949716289307</v>
      </c>
      <c r="M283" s="636">
        <f>M210</f>
        <v>12420.850000000002</v>
      </c>
      <c r="N283" s="636">
        <f>N210</f>
        <v>8809.7000000000007</v>
      </c>
      <c r="O283" s="600">
        <f t="shared" si="68"/>
        <v>70.926707914514694</v>
      </c>
      <c r="P283" s="636">
        <f>P210</f>
        <v>19768.340000000004</v>
      </c>
      <c r="Q283" s="599">
        <f t="shared" si="69"/>
        <v>14784.372000000001</v>
      </c>
      <c r="R283" s="600">
        <f t="shared" si="70"/>
        <v>74.788130920451579</v>
      </c>
    </row>
    <row r="284" spans="1:18">
      <c r="A284" s="442" t="s">
        <v>524</v>
      </c>
      <c r="B284" s="442">
        <f t="shared" ref="B284:H284" si="86">B225</f>
        <v>4</v>
      </c>
      <c r="C284" s="443">
        <f t="shared" si="86"/>
        <v>114.2</v>
      </c>
      <c r="D284" s="599">
        <f t="shared" si="86"/>
        <v>5.34</v>
      </c>
      <c r="E284" s="599">
        <f t="shared" si="86"/>
        <v>208.9</v>
      </c>
      <c r="F284" s="599">
        <f t="shared" si="86"/>
        <v>72.510000000000005</v>
      </c>
      <c r="G284" s="599">
        <f t="shared" si="86"/>
        <v>323.10000000000002</v>
      </c>
      <c r="H284" s="599">
        <f t="shared" si="86"/>
        <v>77.850000000000009</v>
      </c>
      <c r="I284" s="600">
        <f t="shared" si="66"/>
        <v>24.094707520891365</v>
      </c>
      <c r="J284" s="599">
        <f>J225</f>
        <v>79.39</v>
      </c>
      <c r="K284" s="599">
        <f>K225</f>
        <v>0</v>
      </c>
      <c r="L284" s="600">
        <f t="shared" si="67"/>
        <v>0</v>
      </c>
      <c r="M284" s="599">
        <f>M225</f>
        <v>441.04999999999995</v>
      </c>
      <c r="N284" s="599">
        <f>N225</f>
        <v>571.02</v>
      </c>
      <c r="O284" s="600">
        <f t="shared" si="68"/>
        <v>129.46831425008503</v>
      </c>
      <c r="P284" s="599">
        <f>P225</f>
        <v>843.54</v>
      </c>
      <c r="Q284" s="599">
        <f t="shared" si="69"/>
        <v>648.87</v>
      </c>
      <c r="R284" s="600">
        <f t="shared" si="70"/>
        <v>76.922256205989044</v>
      </c>
    </row>
    <row r="285" spans="1:18">
      <c r="A285" s="442" t="s">
        <v>525</v>
      </c>
      <c r="B285" s="442">
        <f t="shared" ref="B285:H285" si="87">B238</f>
        <v>13</v>
      </c>
      <c r="C285" s="443">
        <f t="shared" si="87"/>
        <v>364.7</v>
      </c>
      <c r="D285" s="599">
        <f t="shared" si="87"/>
        <v>0.5</v>
      </c>
      <c r="E285" s="599">
        <f t="shared" si="87"/>
        <v>413.35</v>
      </c>
      <c r="F285" s="599">
        <f t="shared" si="87"/>
        <v>30.47</v>
      </c>
      <c r="G285" s="599">
        <f t="shared" si="87"/>
        <v>778.05</v>
      </c>
      <c r="H285" s="599">
        <f t="shared" si="87"/>
        <v>30.97</v>
      </c>
      <c r="I285" s="600">
        <f t="shared" si="66"/>
        <v>3.980463980463981</v>
      </c>
      <c r="J285" s="599">
        <f>J238</f>
        <v>308.10000000000002</v>
      </c>
      <c r="K285" s="599">
        <f>K238</f>
        <v>14.25</v>
      </c>
      <c r="L285" s="600">
        <f t="shared" si="67"/>
        <v>4.6251217137293086</v>
      </c>
      <c r="M285" s="599">
        <f>M238</f>
        <v>1704.45</v>
      </c>
      <c r="N285" s="599">
        <f>N238</f>
        <v>210.03</v>
      </c>
      <c r="O285" s="600">
        <f t="shared" si="68"/>
        <v>12.322450057203204</v>
      </c>
      <c r="P285" s="599">
        <f>P238</f>
        <v>2790.6</v>
      </c>
      <c r="Q285" s="599">
        <f t="shared" si="69"/>
        <v>255.25</v>
      </c>
      <c r="R285" s="600">
        <f t="shared" si="70"/>
        <v>9.1467784705798039</v>
      </c>
    </row>
    <row r="286" spans="1:18">
      <c r="A286" s="442" t="s">
        <v>41</v>
      </c>
      <c r="B286" s="442">
        <f t="shared" ref="B286:H286" si="88">B252</f>
        <v>9</v>
      </c>
      <c r="C286" s="443">
        <f t="shared" si="88"/>
        <v>206.42</v>
      </c>
      <c r="D286" s="599">
        <f t="shared" si="88"/>
        <v>0</v>
      </c>
      <c r="E286" s="599">
        <f t="shared" si="88"/>
        <v>340.5</v>
      </c>
      <c r="F286" s="599">
        <f t="shared" si="88"/>
        <v>138.97999999999999</v>
      </c>
      <c r="G286" s="599">
        <f t="shared" si="88"/>
        <v>546.91999999999996</v>
      </c>
      <c r="H286" s="599">
        <f t="shared" si="88"/>
        <v>43.18</v>
      </c>
      <c r="I286" s="600">
        <f t="shared" si="66"/>
        <v>7.8951217728369789</v>
      </c>
      <c r="J286" s="599">
        <f>J252</f>
        <v>244.8</v>
      </c>
      <c r="K286" s="599">
        <f>K252</f>
        <v>4</v>
      </c>
      <c r="L286" s="600">
        <f t="shared" si="67"/>
        <v>1.6339869281045754</v>
      </c>
      <c r="M286" s="599">
        <f>M252</f>
        <v>1032.55</v>
      </c>
      <c r="N286" s="599">
        <f>N252</f>
        <v>246.71</v>
      </c>
      <c r="O286" s="600">
        <f t="shared" si="68"/>
        <v>23.893273933465693</v>
      </c>
      <c r="P286" s="599">
        <f>P252</f>
        <v>1824.27</v>
      </c>
      <c r="Q286" s="599">
        <f t="shared" si="69"/>
        <v>293.89</v>
      </c>
      <c r="R286" s="600">
        <f t="shared" si="70"/>
        <v>16.110005646094052</v>
      </c>
    </row>
    <row r="287" spans="1:18">
      <c r="A287" s="587" t="s">
        <v>526</v>
      </c>
      <c r="B287" s="637">
        <f t="shared" ref="B287:G287" si="89">SUM(B267:B286)</f>
        <v>187</v>
      </c>
      <c r="C287" s="443">
        <f t="shared" si="89"/>
        <v>4909.28</v>
      </c>
      <c r="D287" s="599">
        <f t="shared" si="89"/>
        <v>1084.8499999999997</v>
      </c>
      <c r="E287" s="599">
        <f t="shared" si="89"/>
        <v>7846.33</v>
      </c>
      <c r="F287" s="599">
        <f t="shared" si="89"/>
        <v>3053.36</v>
      </c>
      <c r="G287" s="599">
        <f t="shared" si="89"/>
        <v>12755.61</v>
      </c>
      <c r="H287" s="599">
        <f>D287+F287</f>
        <v>4138.21</v>
      </c>
      <c r="I287" s="600">
        <f t="shared" si="66"/>
        <v>32.442274418863541</v>
      </c>
      <c r="J287" s="599">
        <f>SUM(J267:J286)</f>
        <v>6059.85</v>
      </c>
      <c r="K287" s="599">
        <f>SUM(K267:K286)</f>
        <v>3829.4920000000002</v>
      </c>
      <c r="L287" s="600">
        <f t="shared" si="67"/>
        <v>63.19450151406388</v>
      </c>
      <c r="M287" s="599">
        <f>SUM(M267:M286)</f>
        <v>29299.05</v>
      </c>
      <c r="N287" s="599">
        <f>SUM(N267:N286)</f>
        <v>12412.890000000001</v>
      </c>
      <c r="O287" s="600">
        <f t="shared" si="68"/>
        <v>42.366185934356238</v>
      </c>
      <c r="P287" s="599">
        <f>SUM(P267:P286)</f>
        <v>48114.51</v>
      </c>
      <c r="Q287" s="599">
        <f t="shared" si="69"/>
        <v>20380.592000000001</v>
      </c>
      <c r="R287" s="600">
        <f t="shared" si="70"/>
        <v>42.358515134000122</v>
      </c>
    </row>
    <row r="288" spans="1:18">
      <c r="A288" s="445"/>
      <c r="B288" s="445"/>
      <c r="C288" s="605"/>
      <c r="D288" s="446"/>
      <c r="E288" s="446"/>
      <c r="F288" s="446"/>
      <c r="G288" s="446"/>
      <c r="H288" s="446"/>
      <c r="I288" s="445"/>
      <c r="J288" s="446"/>
      <c r="K288" s="446"/>
      <c r="L288" s="445"/>
      <c r="M288" s="446"/>
      <c r="N288" s="446"/>
      <c r="O288" s="445"/>
      <c r="P288" s="446"/>
      <c r="Q288" s="446"/>
      <c r="R288" s="445"/>
    </row>
    <row r="289" spans="1:18">
      <c r="A289" s="445"/>
      <c r="B289" s="445"/>
      <c r="C289" s="605"/>
      <c r="D289" s="446"/>
      <c r="E289" s="446"/>
      <c r="F289" s="446"/>
      <c r="G289" s="446"/>
      <c r="H289" s="446"/>
      <c r="I289" s="445"/>
      <c r="J289" s="446"/>
      <c r="K289" s="446"/>
      <c r="L289" s="445"/>
      <c r="M289" s="446"/>
      <c r="N289" s="446"/>
      <c r="O289" s="445"/>
      <c r="P289" s="446"/>
      <c r="Q289" s="446"/>
      <c r="R289" s="445"/>
    </row>
    <row r="290" spans="1:18">
      <c r="A290" s="445"/>
      <c r="B290" s="445"/>
      <c r="C290" s="605"/>
      <c r="D290" s="446"/>
      <c r="E290" s="446"/>
      <c r="F290" s="446"/>
      <c r="G290" s="446"/>
      <c r="H290" s="446"/>
      <c r="I290" s="445"/>
      <c r="J290" s="446"/>
      <c r="K290" s="446"/>
      <c r="L290" s="445"/>
      <c r="M290" s="446"/>
      <c r="N290" s="446"/>
      <c r="O290" s="445"/>
      <c r="P290" s="446"/>
      <c r="Q290" s="446"/>
      <c r="R290" s="445"/>
    </row>
    <row r="291" spans="1:18">
      <c r="A291" s="445"/>
      <c r="B291" s="445"/>
      <c r="C291" s="605"/>
      <c r="D291" s="446"/>
      <c r="E291" s="446"/>
      <c r="F291" s="446"/>
      <c r="G291" s="446"/>
      <c r="H291" s="446"/>
      <c r="I291" s="445"/>
      <c r="J291" s="446"/>
      <c r="K291" s="446"/>
      <c r="L291" s="445"/>
      <c r="M291" s="446"/>
      <c r="N291" s="446"/>
      <c r="O291" s="445"/>
      <c r="P291" s="446"/>
      <c r="Q291" s="446"/>
      <c r="R291" s="445"/>
    </row>
    <row r="292" spans="1:18">
      <c r="A292" s="445"/>
      <c r="B292" s="445"/>
      <c r="C292" s="605"/>
      <c r="D292" s="446"/>
      <c r="E292" s="446"/>
      <c r="F292" s="446"/>
      <c r="G292" s="446"/>
      <c r="H292" s="446"/>
      <c r="I292" s="445"/>
      <c r="J292" s="446"/>
      <c r="K292" s="446"/>
      <c r="L292" s="445"/>
      <c r="M292" s="446"/>
      <c r="N292" s="446"/>
      <c r="O292" s="445"/>
      <c r="P292" s="446"/>
      <c r="Q292" s="446"/>
      <c r="R292" s="445"/>
    </row>
    <row r="293" spans="1:18">
      <c r="A293" s="445"/>
      <c r="B293" s="445"/>
      <c r="C293" s="605"/>
      <c r="D293" s="446"/>
      <c r="E293" s="446"/>
      <c r="F293" s="446"/>
      <c r="G293" s="446"/>
      <c r="H293" s="446"/>
      <c r="I293" s="445"/>
      <c r="J293" s="446"/>
      <c r="K293" s="446"/>
      <c r="L293" s="445"/>
      <c r="M293" s="446"/>
      <c r="N293" s="446"/>
      <c r="O293" s="445"/>
      <c r="P293" s="446"/>
      <c r="Q293" s="446"/>
      <c r="R293" s="445"/>
    </row>
    <row r="294" spans="1:18">
      <c r="A294" s="445"/>
      <c r="B294" s="445"/>
      <c r="C294" s="605"/>
      <c r="D294" s="446"/>
      <c r="E294" s="446"/>
      <c r="F294" s="446"/>
      <c r="G294" s="446"/>
      <c r="H294" s="446"/>
      <c r="I294" s="445"/>
      <c r="J294" s="446"/>
      <c r="K294" s="446"/>
      <c r="L294" s="445"/>
      <c r="M294" s="446"/>
      <c r="N294" s="446"/>
      <c r="O294" s="445"/>
      <c r="P294" s="446"/>
      <c r="Q294" s="446"/>
      <c r="R294" s="445"/>
    </row>
    <row r="295" spans="1:18">
      <c r="A295" s="445"/>
      <c r="B295" s="445"/>
      <c r="C295" s="605"/>
      <c r="D295" s="446"/>
      <c r="E295" s="446"/>
      <c r="F295" s="446"/>
      <c r="G295" s="446"/>
      <c r="H295" s="446"/>
      <c r="I295" s="445"/>
      <c r="J295" s="446"/>
      <c r="K295" s="446"/>
      <c r="L295" s="445"/>
      <c r="M295" s="446"/>
      <c r="N295" s="446"/>
      <c r="O295" s="445"/>
      <c r="P295" s="446"/>
      <c r="Q295" s="446"/>
      <c r="R295" s="445"/>
    </row>
    <row r="296" spans="1:18">
      <c r="A296" s="445"/>
      <c r="B296" s="445"/>
      <c r="C296" s="605"/>
      <c r="D296" s="446"/>
      <c r="E296" s="446"/>
      <c r="F296" s="446"/>
      <c r="G296" s="446"/>
      <c r="H296" s="446"/>
      <c r="I296" s="445"/>
      <c r="J296" s="446"/>
      <c r="K296" s="446"/>
      <c r="L296" s="445"/>
      <c r="M296" s="446"/>
      <c r="N296" s="446"/>
      <c r="O296" s="445"/>
      <c r="P296" s="446"/>
      <c r="Q296" s="446"/>
      <c r="R296" s="445"/>
    </row>
    <row r="297" spans="1:18" s="741" customFormat="1">
      <c r="A297" s="445"/>
      <c r="B297" s="445"/>
      <c r="C297" s="605"/>
      <c r="D297" s="446"/>
      <c r="E297" s="446"/>
      <c r="F297" s="446"/>
      <c r="G297" s="446"/>
      <c r="H297" s="446"/>
      <c r="I297" s="445"/>
      <c r="J297" s="446"/>
      <c r="K297" s="446"/>
      <c r="L297" s="445"/>
      <c r="M297" s="446"/>
      <c r="N297" s="446"/>
      <c r="O297" s="445"/>
      <c r="P297" s="446"/>
      <c r="Q297" s="446"/>
      <c r="R297" s="445"/>
    </row>
    <row r="298" spans="1:18" s="741" customFormat="1">
      <c r="A298" s="445"/>
      <c r="B298" s="445"/>
      <c r="C298" s="605"/>
      <c r="D298" s="446"/>
      <c r="E298" s="446"/>
      <c r="F298" s="446"/>
      <c r="G298" s="446"/>
      <c r="H298" s="446"/>
      <c r="I298" s="445"/>
      <c r="J298" s="446"/>
      <c r="K298" s="446"/>
      <c r="L298" s="445"/>
      <c r="M298" s="446"/>
      <c r="N298" s="446"/>
      <c r="O298" s="445"/>
      <c r="P298" s="446"/>
      <c r="Q298" s="446"/>
      <c r="R298" s="445"/>
    </row>
    <row r="299" spans="1:18">
      <c r="A299" s="445"/>
      <c r="B299" s="445"/>
      <c r="C299" s="605"/>
      <c r="D299" s="446"/>
      <c r="E299" s="446"/>
      <c r="F299" s="446"/>
      <c r="G299" s="446"/>
      <c r="H299" s="446"/>
      <c r="I299" s="445"/>
      <c r="J299" s="446"/>
      <c r="K299" s="446"/>
      <c r="L299" s="445"/>
      <c r="M299" s="446"/>
      <c r="N299" s="446"/>
      <c r="O299" s="445"/>
      <c r="P299" s="446"/>
      <c r="Q299" s="446"/>
      <c r="R299" s="445"/>
    </row>
    <row r="300" spans="1:18">
      <c r="A300" s="445"/>
      <c r="B300" s="445"/>
      <c r="C300" s="605"/>
      <c r="D300" s="446"/>
      <c r="E300" s="446"/>
      <c r="F300" s="446"/>
      <c r="G300" s="446"/>
      <c r="H300" s="446"/>
      <c r="I300" s="445"/>
      <c r="J300" s="446"/>
      <c r="K300" s="446"/>
      <c r="L300" s="445"/>
      <c r="M300" s="446"/>
      <c r="N300" s="446"/>
      <c r="O300" s="445"/>
      <c r="P300" s="446"/>
      <c r="Q300" s="446"/>
      <c r="R300" s="445"/>
    </row>
    <row r="301" spans="1:18">
      <c r="A301" s="588"/>
      <c r="B301" s="568"/>
      <c r="C301" s="611"/>
      <c r="D301" s="569"/>
      <c r="E301" s="569"/>
      <c r="F301" s="569"/>
      <c r="G301" s="570"/>
      <c r="H301" s="570"/>
      <c r="I301" s="612"/>
      <c r="J301" s="570"/>
      <c r="K301" s="570"/>
      <c r="L301" s="612"/>
      <c r="M301" s="570"/>
      <c r="N301" s="570"/>
      <c r="O301" s="612"/>
      <c r="P301" s="570"/>
      <c r="Q301" s="570"/>
      <c r="R301" s="612"/>
    </row>
    <row r="302" spans="1:18" ht="15.75">
      <c r="A302" s="1617">
        <v>52</v>
      </c>
      <c r="B302" s="1617"/>
      <c r="C302" s="1617"/>
      <c r="D302" s="1617"/>
      <c r="E302" s="1617"/>
      <c r="F302" s="1617"/>
      <c r="G302" s="1617"/>
      <c r="H302" s="1617"/>
      <c r="I302" s="1617"/>
      <c r="J302" s="1617"/>
      <c r="K302" s="1617"/>
      <c r="L302" s="1617"/>
      <c r="M302" s="1617"/>
      <c r="N302" s="1617"/>
      <c r="O302" s="1617"/>
      <c r="P302" s="1617"/>
      <c r="Q302" s="1617"/>
      <c r="R302" s="1617"/>
    </row>
    <row r="303" spans="1:18">
      <c r="A303" s="445"/>
      <c r="B303" s="445"/>
      <c r="C303" s="581"/>
      <c r="D303" s="1618" t="s">
        <v>621</v>
      </c>
      <c r="E303" s="1618"/>
      <c r="F303" s="1618"/>
      <c r="G303" s="1618"/>
      <c r="H303" s="1618"/>
      <c r="I303" s="1618"/>
      <c r="J303" s="1618"/>
      <c r="K303" s="1618"/>
      <c r="L303" s="1618"/>
      <c r="M303" s="1618"/>
      <c r="N303" s="1618"/>
      <c r="O303" s="638"/>
      <c r="P303" s="446"/>
      <c r="Q303" s="446"/>
      <c r="R303" s="445"/>
    </row>
    <row r="304" spans="1:18">
      <c r="A304" s="445"/>
      <c r="B304" s="445"/>
      <c r="C304" s="605"/>
      <c r="D304" s="446"/>
      <c r="E304" s="446"/>
      <c r="F304" s="440"/>
      <c r="G304" s="440"/>
      <c r="H304" s="440"/>
      <c r="I304" s="439"/>
      <c r="J304" s="440"/>
      <c r="K304" s="440"/>
      <c r="L304" s="439"/>
      <c r="M304" s="447"/>
      <c r="N304" s="639"/>
      <c r="O304" s="638"/>
      <c r="P304" s="446"/>
      <c r="Q304" s="1619" t="s">
        <v>315</v>
      </c>
      <c r="R304" s="1620"/>
    </row>
    <row r="305" spans="1:18">
      <c r="A305" s="1621" t="s">
        <v>343</v>
      </c>
      <c r="B305" s="1622" t="s">
        <v>497</v>
      </c>
      <c r="C305" s="1616" t="s">
        <v>484</v>
      </c>
      <c r="D305" s="1616"/>
      <c r="E305" s="1616" t="s">
        <v>485</v>
      </c>
      <c r="F305" s="1616"/>
      <c r="G305" s="1623" t="s">
        <v>486</v>
      </c>
      <c r="H305" s="1623"/>
      <c r="I305" s="1623"/>
      <c r="J305" s="1623" t="s">
        <v>487</v>
      </c>
      <c r="K305" s="1623"/>
      <c r="L305" s="1623"/>
      <c r="M305" s="1623" t="s">
        <v>488</v>
      </c>
      <c r="N305" s="1623"/>
      <c r="O305" s="1623"/>
      <c r="P305" s="1616" t="s">
        <v>489</v>
      </c>
      <c r="Q305" s="1616"/>
      <c r="R305" s="1616"/>
    </row>
    <row r="306" spans="1:18">
      <c r="A306" s="1621"/>
      <c r="B306" s="1622"/>
      <c r="C306" s="640" t="s">
        <v>530</v>
      </c>
      <c r="D306" s="641" t="s">
        <v>531</v>
      </c>
      <c r="E306" s="641" t="s">
        <v>490</v>
      </c>
      <c r="F306" s="641" t="s">
        <v>531</v>
      </c>
      <c r="G306" s="641" t="s">
        <v>490</v>
      </c>
      <c r="H306" s="641" t="s">
        <v>531</v>
      </c>
      <c r="I306" s="1040" t="s">
        <v>532</v>
      </c>
      <c r="J306" s="641" t="s">
        <v>490</v>
      </c>
      <c r="K306" s="641" t="s">
        <v>531</v>
      </c>
      <c r="L306" s="1040" t="s">
        <v>532</v>
      </c>
      <c r="M306" s="641" t="s">
        <v>490</v>
      </c>
      <c r="N306" s="641" t="s">
        <v>531</v>
      </c>
      <c r="O306" s="1040" t="s">
        <v>532</v>
      </c>
      <c r="P306" s="641" t="s">
        <v>490</v>
      </c>
      <c r="Q306" s="641" t="s">
        <v>531</v>
      </c>
      <c r="R306" s="1040" t="s">
        <v>532</v>
      </c>
    </row>
    <row r="307" spans="1:18">
      <c r="A307" s="560" t="s">
        <v>10</v>
      </c>
      <c r="B307" s="560">
        <v>59</v>
      </c>
      <c r="C307" s="599">
        <f t="shared" ref="C307:H307" si="90">C7+C18+C26+C33+C48+C65+C77+C91+C100+C108+C119+C134+C146+C154+C163+C177+C183+C221+C231+C244</f>
        <v>1855.48</v>
      </c>
      <c r="D307" s="599">
        <f t="shared" si="90"/>
        <v>233.27</v>
      </c>
      <c r="E307" s="599">
        <f t="shared" si="90"/>
        <v>2104.0200000000004</v>
      </c>
      <c r="F307" s="599">
        <f t="shared" si="90"/>
        <v>112.3</v>
      </c>
      <c r="G307" s="599">
        <f t="shared" si="90"/>
        <v>3959.5</v>
      </c>
      <c r="H307" s="599">
        <f t="shared" si="90"/>
        <v>345.57</v>
      </c>
      <c r="I307" s="599">
        <f>H307/G307*100</f>
        <v>8.7276171233741628</v>
      </c>
      <c r="J307" s="599">
        <f>J7+J18+J26+J33+J48+J65+J77+J91+J100+J108+J119+J134+J146+J154+J163+J177+J183+J221+J231+J244</f>
        <v>1524.75</v>
      </c>
      <c r="K307" s="599">
        <f>K7+K18+K26+K33+K48+K65+K77+K91+K100+K108+K119+K134+K146+K154+K163+K177+K183+K221+K231+K244</f>
        <v>344.82</v>
      </c>
      <c r="L307" s="599">
        <f>K307/J307*100</f>
        <v>22.614854894244957</v>
      </c>
      <c r="M307" s="599">
        <f>M7+M18+M26+M33+M48+M65+M77+M91+M100+M108+M119+M134+M146+M154+M163+M177+M183+M221+M231+M244</f>
        <v>9990.5499999999993</v>
      </c>
      <c r="N307" s="599">
        <f>N7+N18+N26+N33+N48+N65+N77+N91+N100+N108+N119+N134+N146+N154+N163+N177+N183+N221+N231+N244</f>
        <v>2621.64</v>
      </c>
      <c r="O307" s="599">
        <f>N307/M307*100</f>
        <v>26.241197932045786</v>
      </c>
      <c r="P307" s="599">
        <f>P7+P18+P26+P33+P48+P65+P77+P91+P100+P108+P119+P134+P146+P154+P163+P177+P183+P221+P231+P244</f>
        <v>15474.8</v>
      </c>
      <c r="Q307" s="599">
        <f>Q7+Q18+Q26+Q33+Q48+Q65+Q77+Q91+Q100+Q108+Q119+Q134+Q146+Q154+Q163+Q177+Q183+Q221+Q231+Q244</f>
        <v>3312.03</v>
      </c>
      <c r="R307" s="599">
        <f>Q307/P307*100</f>
        <v>21.402732183937758</v>
      </c>
    </row>
    <row r="308" spans="1:18">
      <c r="A308" s="571" t="s">
        <v>491</v>
      </c>
      <c r="B308" s="571">
        <v>2</v>
      </c>
      <c r="C308" s="599">
        <f>C185</f>
        <v>148.30000000000001</v>
      </c>
      <c r="D308" s="599">
        <f>D185</f>
        <v>49</v>
      </c>
      <c r="E308" s="599">
        <f>E185</f>
        <v>500.7</v>
      </c>
      <c r="F308" s="599">
        <f>F185</f>
        <v>385.83</v>
      </c>
      <c r="G308" s="599">
        <f>G185</f>
        <v>649</v>
      </c>
      <c r="H308" s="599">
        <f>D308+F308</f>
        <v>434.83</v>
      </c>
      <c r="I308" s="599">
        <f t="shared" ref="I308:I333" si="91">H308/G308*100</f>
        <v>67</v>
      </c>
      <c r="J308" s="599">
        <f>J185</f>
        <v>566</v>
      </c>
      <c r="K308" s="599">
        <v>24</v>
      </c>
      <c r="L308" s="599">
        <f t="shared" ref="L308:L333" si="92">K308/J308*100</f>
        <v>4.2402826855123674</v>
      </c>
      <c r="M308" s="599">
        <f>M185</f>
        <v>1593</v>
      </c>
      <c r="N308" s="599">
        <f>N185</f>
        <v>227</v>
      </c>
      <c r="O308" s="599">
        <f t="shared" ref="O308:O333" si="93">N308/M308*100</f>
        <v>14.249843063402384</v>
      </c>
      <c r="P308" s="599">
        <f>P185</f>
        <v>2808</v>
      </c>
      <c r="Q308" s="599">
        <f>H308+K308+N308</f>
        <v>685.82999999999993</v>
      </c>
      <c r="R308" s="599">
        <f t="shared" ref="R308:R333" si="94">Q308/P308*100</f>
        <v>24.424145299145298</v>
      </c>
    </row>
    <row r="309" spans="1:18">
      <c r="A309" s="572" t="s">
        <v>23</v>
      </c>
      <c r="B309" s="589">
        <v>5</v>
      </c>
      <c r="C309" s="443">
        <f>C188+C66+C54</f>
        <v>252.25</v>
      </c>
      <c r="D309" s="599">
        <f>D54+D66+D188</f>
        <v>0</v>
      </c>
      <c r="E309" s="599">
        <f>E188+E66+E54</f>
        <v>866.75</v>
      </c>
      <c r="F309" s="599">
        <f>F54+F66+F188</f>
        <v>1148.5</v>
      </c>
      <c r="G309" s="599">
        <f>G188+G66+G54</f>
        <v>1119</v>
      </c>
      <c r="H309" s="599">
        <f>H188+H66+H54</f>
        <v>1148.5</v>
      </c>
      <c r="I309" s="599">
        <f t="shared" si="91"/>
        <v>102.63628239499553</v>
      </c>
      <c r="J309" s="599">
        <f>J188+J66+J54</f>
        <v>984.3</v>
      </c>
      <c r="K309" s="599">
        <f>K188+K66+K54</f>
        <v>2831.23</v>
      </c>
      <c r="L309" s="599">
        <f t="shared" si="92"/>
        <v>287.63893122015645</v>
      </c>
      <c r="M309" s="599">
        <f>M188+M66+M54</f>
        <v>2621.7</v>
      </c>
      <c r="N309" s="599">
        <f>N54+N66+N188</f>
        <v>2631.94</v>
      </c>
      <c r="O309" s="599">
        <f t="shared" si="93"/>
        <v>100.39058626082313</v>
      </c>
      <c r="P309" s="599">
        <f>P188+P66+P54</f>
        <v>4725</v>
      </c>
      <c r="Q309" s="599">
        <f>Q188+Q66+Q54</f>
        <v>6611.67</v>
      </c>
      <c r="R309" s="599">
        <f t="shared" si="94"/>
        <v>139.9295238095238</v>
      </c>
    </row>
    <row r="310" spans="1:18">
      <c r="A310" s="442" t="s">
        <v>17</v>
      </c>
      <c r="B310" s="442">
        <v>7</v>
      </c>
      <c r="C310" s="443">
        <f>C248+C232+C184+C49+C34+C8+C222</f>
        <v>320.32</v>
      </c>
      <c r="D310" s="599">
        <f>D8+D34+D49+D184+D222+D232+D248</f>
        <v>8</v>
      </c>
      <c r="E310" s="599">
        <f>E248+E232+E184+E49+E34+E8+E222</f>
        <v>339.05</v>
      </c>
      <c r="F310" s="599">
        <f>F248+F232+F184+F49+F34+F8+F222</f>
        <v>8.02</v>
      </c>
      <c r="G310" s="599">
        <f>G248+G232+G184+G49+G34+G8+G222</f>
        <v>659.37</v>
      </c>
      <c r="H310" s="599">
        <f>H248+H232+H184+H49+H34+H8+H222</f>
        <v>16.02</v>
      </c>
      <c r="I310" s="599">
        <f t="shared" si="91"/>
        <v>2.4295918831611991</v>
      </c>
      <c r="J310" s="599">
        <f>J248+J232+J184+J49+J34+J8+J222</f>
        <v>143</v>
      </c>
      <c r="K310" s="599">
        <f>K248+K232+K184+K49+K34+K8+K222</f>
        <v>0</v>
      </c>
      <c r="L310" s="599">
        <f t="shared" si="92"/>
        <v>0</v>
      </c>
      <c r="M310" s="599">
        <f>M248+M232+M184+M49+M34+M8+M222</f>
        <v>494</v>
      </c>
      <c r="N310" s="599">
        <f>N248+N232+N184+N49+N34+N8+N222</f>
        <v>225.48000000000002</v>
      </c>
      <c r="O310" s="599">
        <f t="shared" si="93"/>
        <v>45.64372469635628</v>
      </c>
      <c r="P310" s="599">
        <f>P248+P232+P184+P49+P34+P8+P222</f>
        <v>1296.3700000000001</v>
      </c>
      <c r="Q310" s="599">
        <f>Q248+Q232+Q184+Q49+Q34+Q8+Q222</f>
        <v>241.5</v>
      </c>
      <c r="R310" s="599">
        <f t="shared" si="94"/>
        <v>18.628940811650992</v>
      </c>
    </row>
    <row r="311" spans="1:18">
      <c r="A311" s="442" t="s">
        <v>35</v>
      </c>
      <c r="B311" s="442">
        <v>4</v>
      </c>
      <c r="C311" s="443">
        <f>C186+C135</f>
        <v>155.30000000000001</v>
      </c>
      <c r="D311" s="599">
        <f>D135+D186</f>
        <v>2.9</v>
      </c>
      <c r="E311" s="599">
        <f>E186+E135</f>
        <v>252.2</v>
      </c>
      <c r="F311" s="599">
        <f>F186+F135</f>
        <v>6.84</v>
      </c>
      <c r="G311" s="599">
        <f>G186+G135</f>
        <v>407.5</v>
      </c>
      <c r="H311" s="599">
        <f>H186+H135</f>
        <v>9.74</v>
      </c>
      <c r="I311" s="599">
        <f t="shared" si="91"/>
        <v>2.3901840490797546</v>
      </c>
      <c r="J311" s="599">
        <f>J186+J135</f>
        <v>148.19999999999999</v>
      </c>
      <c r="K311" s="599">
        <f>K186+K135</f>
        <v>0</v>
      </c>
      <c r="L311" s="599">
        <f t="shared" si="92"/>
        <v>0</v>
      </c>
      <c r="M311" s="599">
        <f>M186+M135</f>
        <v>1224.0999999999999</v>
      </c>
      <c r="N311" s="599">
        <f>N186+N135</f>
        <v>149.03</v>
      </c>
      <c r="O311" s="599">
        <f t="shared" si="93"/>
        <v>12.174658933093703</v>
      </c>
      <c r="P311" s="599">
        <f>P186+P135</f>
        <v>1779.8</v>
      </c>
      <c r="Q311" s="599">
        <f>Q186+Q135</f>
        <v>158.77000000000001</v>
      </c>
      <c r="R311" s="599">
        <f t="shared" si="94"/>
        <v>8.9206652432857645</v>
      </c>
    </row>
    <row r="312" spans="1:18">
      <c r="A312" s="442" t="s">
        <v>492</v>
      </c>
      <c r="B312" s="442">
        <v>1</v>
      </c>
      <c r="C312" s="443">
        <f>C187</f>
        <v>30</v>
      </c>
      <c r="D312" s="599">
        <f t="shared" ref="D312:Q312" si="95">D187</f>
        <v>0</v>
      </c>
      <c r="E312" s="599">
        <f t="shared" si="95"/>
        <v>8</v>
      </c>
      <c r="F312" s="599">
        <f t="shared" si="95"/>
        <v>10</v>
      </c>
      <c r="G312" s="599">
        <f t="shared" si="95"/>
        <v>38</v>
      </c>
      <c r="H312" s="599">
        <f t="shared" si="95"/>
        <v>10</v>
      </c>
      <c r="I312" s="599">
        <f t="shared" si="91"/>
        <v>26.315789473684209</v>
      </c>
      <c r="J312" s="599">
        <f t="shared" si="95"/>
        <v>56.8</v>
      </c>
      <c r="K312" s="599">
        <f t="shared" si="95"/>
        <v>0</v>
      </c>
      <c r="L312" s="599">
        <f t="shared" si="92"/>
        <v>0</v>
      </c>
      <c r="M312" s="599">
        <f t="shared" si="95"/>
        <v>176.4</v>
      </c>
      <c r="N312" s="599">
        <f t="shared" si="95"/>
        <v>26.08</v>
      </c>
      <c r="O312" s="599">
        <f t="shared" si="93"/>
        <v>14.784580498866212</v>
      </c>
      <c r="P312" s="599">
        <f t="shared" si="95"/>
        <v>271.2</v>
      </c>
      <c r="Q312" s="599">
        <f t="shared" si="95"/>
        <v>36.08</v>
      </c>
      <c r="R312" s="599">
        <f t="shared" si="94"/>
        <v>13.303834808259587</v>
      </c>
    </row>
    <row r="313" spans="1:18">
      <c r="A313" s="442" t="s">
        <v>493</v>
      </c>
      <c r="B313" s="442">
        <v>2</v>
      </c>
      <c r="C313" s="443">
        <f t="shared" ref="C313:Q315" si="96">C189</f>
        <v>141.55000000000001</v>
      </c>
      <c r="D313" s="599">
        <f t="shared" si="96"/>
        <v>66.59</v>
      </c>
      <c r="E313" s="599">
        <f t="shared" si="96"/>
        <v>86.45</v>
      </c>
      <c r="F313" s="599">
        <f t="shared" si="96"/>
        <v>10.01</v>
      </c>
      <c r="G313" s="599">
        <f t="shared" si="96"/>
        <v>228</v>
      </c>
      <c r="H313" s="599">
        <f t="shared" si="96"/>
        <v>76.600000000000009</v>
      </c>
      <c r="I313" s="599">
        <f t="shared" si="91"/>
        <v>33.596491228070178</v>
      </c>
      <c r="J313" s="599">
        <f t="shared" si="96"/>
        <v>70</v>
      </c>
      <c r="K313" s="599">
        <f t="shared" si="96"/>
        <v>70.77</v>
      </c>
      <c r="L313" s="599">
        <f t="shared" si="92"/>
        <v>101.1</v>
      </c>
      <c r="M313" s="599">
        <f t="shared" si="96"/>
        <v>881.8</v>
      </c>
      <c r="N313" s="599">
        <f t="shared" si="96"/>
        <v>2968.87</v>
      </c>
      <c r="O313" s="599">
        <f t="shared" si="93"/>
        <v>336.68292129734635</v>
      </c>
      <c r="P313" s="599">
        <f t="shared" si="96"/>
        <v>1179.8</v>
      </c>
      <c r="Q313" s="599">
        <f t="shared" si="96"/>
        <v>3116.24</v>
      </c>
      <c r="R313" s="599">
        <f t="shared" si="94"/>
        <v>264.13290388201392</v>
      </c>
    </row>
    <row r="314" spans="1:18">
      <c r="A314" s="442" t="s">
        <v>53</v>
      </c>
      <c r="B314" s="442">
        <v>2</v>
      </c>
      <c r="C314" s="443">
        <f t="shared" si="96"/>
        <v>64.599999999999994</v>
      </c>
      <c r="D314" s="599">
        <f t="shared" si="96"/>
        <v>1.5</v>
      </c>
      <c r="E314" s="599">
        <f t="shared" si="96"/>
        <v>10.8</v>
      </c>
      <c r="F314" s="599">
        <f t="shared" si="96"/>
        <v>7.5</v>
      </c>
      <c r="G314" s="599">
        <f t="shared" si="96"/>
        <v>75.399999999999991</v>
      </c>
      <c r="H314" s="599">
        <f t="shared" si="96"/>
        <v>9</v>
      </c>
      <c r="I314" s="599">
        <f t="shared" si="91"/>
        <v>11.936339522546421</v>
      </c>
      <c r="J314" s="599">
        <f t="shared" si="96"/>
        <v>30.7</v>
      </c>
      <c r="K314" s="599">
        <f t="shared" si="96"/>
        <v>0</v>
      </c>
      <c r="L314" s="599">
        <f t="shared" si="92"/>
        <v>0</v>
      </c>
      <c r="M314" s="599">
        <f t="shared" si="96"/>
        <v>204.95</v>
      </c>
      <c r="N314" s="599">
        <f t="shared" si="96"/>
        <v>29.41</v>
      </c>
      <c r="O314" s="599">
        <f t="shared" si="93"/>
        <v>14.349841424737741</v>
      </c>
      <c r="P314" s="599">
        <f t="shared" si="96"/>
        <v>311.04999999999995</v>
      </c>
      <c r="Q314" s="599">
        <f t="shared" si="96"/>
        <v>38.409999999999997</v>
      </c>
      <c r="R314" s="599">
        <f t="shared" si="94"/>
        <v>12.348497026201576</v>
      </c>
    </row>
    <row r="315" spans="1:18">
      <c r="A315" s="442" t="s">
        <v>494</v>
      </c>
      <c r="B315" s="442">
        <v>1</v>
      </c>
      <c r="C315" s="443">
        <f t="shared" si="96"/>
        <v>27.2</v>
      </c>
      <c r="D315" s="599">
        <f t="shared" si="96"/>
        <v>0</v>
      </c>
      <c r="E315" s="599">
        <f t="shared" si="96"/>
        <v>6.4</v>
      </c>
      <c r="F315" s="599">
        <f t="shared" si="96"/>
        <v>15.75</v>
      </c>
      <c r="G315" s="599">
        <f t="shared" si="96"/>
        <v>33.6</v>
      </c>
      <c r="H315" s="599">
        <f t="shared" si="96"/>
        <v>15.75</v>
      </c>
      <c r="I315" s="599">
        <f t="shared" si="91"/>
        <v>46.875</v>
      </c>
      <c r="J315" s="599">
        <f t="shared" si="96"/>
        <v>10</v>
      </c>
      <c r="K315" s="599">
        <f t="shared" si="96"/>
        <v>0</v>
      </c>
      <c r="L315" s="599">
        <f t="shared" si="92"/>
        <v>0</v>
      </c>
      <c r="M315" s="599">
        <f t="shared" si="96"/>
        <v>926.05</v>
      </c>
      <c r="N315" s="599">
        <f t="shared" si="96"/>
        <v>25.2</v>
      </c>
      <c r="O315" s="599">
        <f t="shared" si="93"/>
        <v>2.7212353544625021</v>
      </c>
      <c r="P315" s="599">
        <f t="shared" si="96"/>
        <v>969.65</v>
      </c>
      <c r="Q315" s="599">
        <f t="shared" si="96"/>
        <v>40.950000000000003</v>
      </c>
      <c r="R315" s="599">
        <f t="shared" si="94"/>
        <v>4.2231733099572022</v>
      </c>
    </row>
    <row r="316" spans="1:18">
      <c r="A316" s="442" t="s">
        <v>27</v>
      </c>
      <c r="B316" s="442">
        <v>3</v>
      </c>
      <c r="C316" s="443">
        <f t="shared" ref="C316:H316" si="97">C192+C50</f>
        <v>47</v>
      </c>
      <c r="D316" s="599">
        <f t="shared" si="97"/>
        <v>0</v>
      </c>
      <c r="E316" s="599">
        <f t="shared" si="97"/>
        <v>4.4000000000000004</v>
      </c>
      <c r="F316" s="599">
        <f t="shared" si="97"/>
        <v>0</v>
      </c>
      <c r="G316" s="599">
        <f t="shared" si="97"/>
        <v>51.4</v>
      </c>
      <c r="H316" s="599">
        <f t="shared" si="97"/>
        <v>0</v>
      </c>
      <c r="I316" s="599">
        <f t="shared" si="91"/>
        <v>0</v>
      </c>
      <c r="J316" s="599">
        <f>J192+J50</f>
        <v>668.9</v>
      </c>
      <c r="K316" s="599">
        <f>K192+K50</f>
        <v>46.1</v>
      </c>
      <c r="L316" s="599">
        <f t="shared" si="92"/>
        <v>6.8919120944834811</v>
      </c>
      <c r="M316" s="599">
        <f>M192+M50</f>
        <v>6.75</v>
      </c>
      <c r="N316" s="599">
        <f>N192+N50</f>
        <v>0</v>
      </c>
      <c r="O316" s="599">
        <f t="shared" si="93"/>
        <v>0</v>
      </c>
      <c r="P316" s="599">
        <f>P192+P50</f>
        <v>727.05</v>
      </c>
      <c r="Q316" s="599">
        <f>Q192+Q50</f>
        <v>46.1</v>
      </c>
      <c r="R316" s="599">
        <f t="shared" si="94"/>
        <v>6.3406918368750436</v>
      </c>
    </row>
    <row r="317" spans="1:18">
      <c r="A317" s="442" t="s">
        <v>285</v>
      </c>
      <c r="B317" s="442">
        <v>1</v>
      </c>
      <c r="C317" s="444">
        <f>C193</f>
        <v>30.35</v>
      </c>
      <c r="D317" s="599">
        <f>D193</f>
        <v>11.45</v>
      </c>
      <c r="E317" s="571">
        <f>E193</f>
        <v>11.5</v>
      </c>
      <c r="F317" s="571">
        <f t="shared" ref="F317:Q317" si="98">F193</f>
        <v>25.75</v>
      </c>
      <c r="G317" s="571">
        <f t="shared" si="98"/>
        <v>41.85</v>
      </c>
      <c r="H317" s="571">
        <f t="shared" si="98"/>
        <v>37.200000000000003</v>
      </c>
      <c r="I317" s="599">
        <f t="shared" si="91"/>
        <v>88.8888888888889</v>
      </c>
      <c r="J317" s="571">
        <f t="shared" si="98"/>
        <v>109.2</v>
      </c>
      <c r="K317" s="571">
        <f t="shared" si="98"/>
        <v>60.47</v>
      </c>
      <c r="L317" s="599">
        <f t="shared" si="92"/>
        <v>55.375457875457869</v>
      </c>
      <c r="M317" s="571">
        <f t="shared" si="98"/>
        <v>23.9</v>
      </c>
      <c r="N317" s="571">
        <f t="shared" si="98"/>
        <v>16.75</v>
      </c>
      <c r="O317" s="599">
        <f t="shared" si="93"/>
        <v>70.083682008368214</v>
      </c>
      <c r="P317" s="571">
        <f t="shared" si="98"/>
        <v>174.95000000000002</v>
      </c>
      <c r="Q317" s="571">
        <f t="shared" si="98"/>
        <v>114.42</v>
      </c>
      <c r="R317" s="599">
        <f t="shared" si="94"/>
        <v>65.401543298085159</v>
      </c>
    </row>
    <row r="318" spans="1:18">
      <c r="A318" s="442" t="s">
        <v>11</v>
      </c>
      <c r="B318" s="442">
        <v>6</v>
      </c>
      <c r="C318" s="443">
        <f t="shared" ref="C318:H318" si="99">C51+C137+C194+C233+C245</f>
        <v>83.7</v>
      </c>
      <c r="D318" s="599">
        <f t="shared" si="99"/>
        <v>20.43</v>
      </c>
      <c r="E318" s="599">
        <f t="shared" si="99"/>
        <v>0</v>
      </c>
      <c r="F318" s="599">
        <f t="shared" si="99"/>
        <v>0</v>
      </c>
      <c r="G318" s="599">
        <f t="shared" si="99"/>
        <v>83.7</v>
      </c>
      <c r="H318" s="599">
        <f t="shared" si="99"/>
        <v>20.43</v>
      </c>
      <c r="I318" s="599">
        <f t="shared" si="91"/>
        <v>24.408602150537632</v>
      </c>
      <c r="J318" s="599">
        <f>J51+J137+J194+J233+J245</f>
        <v>43.6</v>
      </c>
      <c r="K318" s="599">
        <f>K51+K137+K194+K233+K245</f>
        <v>131.53</v>
      </c>
      <c r="L318" s="599">
        <f t="shared" si="92"/>
        <v>301.67431192660547</v>
      </c>
      <c r="M318" s="599">
        <f>M51+M137+M194+M233+M245</f>
        <v>14.1</v>
      </c>
      <c r="N318" s="599">
        <f>N51+N137+N194+N233+N245</f>
        <v>0</v>
      </c>
      <c r="O318" s="599">
        <f t="shared" si="93"/>
        <v>0</v>
      </c>
      <c r="P318" s="599">
        <f>P51+P137+P194+P233+P245</f>
        <v>141.4</v>
      </c>
      <c r="Q318" s="599">
        <f>Q51+Q137+Q194+Q233+Q245</f>
        <v>151.96</v>
      </c>
      <c r="R318" s="599">
        <f t="shared" si="94"/>
        <v>107.46817538896747</v>
      </c>
    </row>
    <row r="319" spans="1:18">
      <c r="A319" s="442" t="s">
        <v>28</v>
      </c>
      <c r="B319" s="442">
        <v>3</v>
      </c>
      <c r="C319" s="443">
        <f t="shared" ref="C319:H319" si="100">C195+C55</f>
        <v>227.4</v>
      </c>
      <c r="D319" s="599">
        <f t="shared" si="100"/>
        <v>3.2</v>
      </c>
      <c r="E319" s="599">
        <f t="shared" si="100"/>
        <v>158.25</v>
      </c>
      <c r="F319" s="599">
        <f t="shared" si="100"/>
        <v>12.25</v>
      </c>
      <c r="G319" s="599">
        <f t="shared" si="100"/>
        <v>385.65</v>
      </c>
      <c r="H319" s="599">
        <f t="shared" si="100"/>
        <v>15.45</v>
      </c>
      <c r="I319" s="599">
        <f t="shared" si="91"/>
        <v>4.0062232594321276</v>
      </c>
      <c r="J319" s="599">
        <f>J195+J55</f>
        <v>177.85</v>
      </c>
      <c r="K319" s="599">
        <f>K195+K55</f>
        <v>49</v>
      </c>
      <c r="L319" s="599">
        <f t="shared" si="92"/>
        <v>27.551307281416925</v>
      </c>
      <c r="M319" s="599">
        <f>M195+M55</f>
        <v>1400.35</v>
      </c>
      <c r="N319" s="599">
        <f>N195+N55</f>
        <v>49</v>
      </c>
      <c r="O319" s="599">
        <f t="shared" si="93"/>
        <v>3.4991252186953266</v>
      </c>
      <c r="P319" s="599">
        <f>P195+P55</f>
        <v>1963.85</v>
      </c>
      <c r="Q319" s="599">
        <f>Q195+Q55</f>
        <v>113.45</v>
      </c>
      <c r="R319" s="599">
        <f t="shared" si="94"/>
        <v>5.7769177890368413</v>
      </c>
    </row>
    <row r="320" spans="1:18">
      <c r="A320" s="442" t="s">
        <v>83</v>
      </c>
      <c r="B320" s="442">
        <v>1</v>
      </c>
      <c r="C320" s="443">
        <f t="shared" ref="C320:Q321" si="101">C197</f>
        <v>30</v>
      </c>
      <c r="D320" s="599">
        <f t="shared" si="101"/>
        <v>0</v>
      </c>
      <c r="E320" s="599">
        <f t="shared" si="101"/>
        <v>0</v>
      </c>
      <c r="F320" s="599">
        <f t="shared" si="101"/>
        <v>1.91</v>
      </c>
      <c r="G320" s="599">
        <f t="shared" si="101"/>
        <v>30</v>
      </c>
      <c r="H320" s="599">
        <f t="shared" si="101"/>
        <v>1.91</v>
      </c>
      <c r="I320" s="599">
        <f t="shared" si="91"/>
        <v>6.3666666666666663</v>
      </c>
      <c r="J320" s="599">
        <f t="shared" si="101"/>
        <v>50</v>
      </c>
      <c r="K320" s="599">
        <f t="shared" si="101"/>
        <v>20</v>
      </c>
      <c r="L320" s="599">
        <f t="shared" si="92"/>
        <v>40</v>
      </c>
      <c r="M320" s="599">
        <f t="shared" si="101"/>
        <v>121.2</v>
      </c>
      <c r="N320" s="599">
        <f t="shared" si="101"/>
        <v>61.3</v>
      </c>
      <c r="O320" s="599">
        <f t="shared" si="93"/>
        <v>50.577557755775572</v>
      </c>
      <c r="P320" s="599">
        <f t="shared" si="101"/>
        <v>201.2</v>
      </c>
      <c r="Q320" s="599">
        <f t="shared" si="101"/>
        <v>83.21</v>
      </c>
      <c r="R320" s="599">
        <f t="shared" si="94"/>
        <v>41.356858846918485</v>
      </c>
    </row>
    <row r="321" spans="1:18">
      <c r="A321" s="571" t="s">
        <v>495</v>
      </c>
      <c r="B321" s="571">
        <v>1</v>
      </c>
      <c r="C321" s="599">
        <f t="shared" si="101"/>
        <v>35</v>
      </c>
      <c r="D321" s="599">
        <f t="shared" si="101"/>
        <v>1</v>
      </c>
      <c r="E321" s="599">
        <f t="shared" si="101"/>
        <v>44.2</v>
      </c>
      <c r="F321" s="599">
        <f t="shared" si="101"/>
        <v>0</v>
      </c>
      <c r="G321" s="599">
        <f t="shared" si="101"/>
        <v>79.2</v>
      </c>
      <c r="H321" s="599">
        <f t="shared" si="101"/>
        <v>1</v>
      </c>
      <c r="I321" s="599">
        <f t="shared" si="91"/>
        <v>1.2626262626262625</v>
      </c>
      <c r="J321" s="599">
        <f t="shared" si="101"/>
        <v>322.2</v>
      </c>
      <c r="K321" s="599">
        <f t="shared" si="101"/>
        <v>0</v>
      </c>
      <c r="L321" s="599">
        <f t="shared" si="92"/>
        <v>0</v>
      </c>
      <c r="M321" s="599">
        <f t="shared" si="101"/>
        <v>934.8</v>
      </c>
      <c r="N321" s="599">
        <f t="shared" si="101"/>
        <v>80</v>
      </c>
      <c r="O321" s="599">
        <f t="shared" si="93"/>
        <v>8.5579803166452724</v>
      </c>
      <c r="P321" s="599">
        <f t="shared" si="101"/>
        <v>1336.1999999999998</v>
      </c>
      <c r="Q321" s="599">
        <f t="shared" si="101"/>
        <v>81</v>
      </c>
      <c r="R321" s="599">
        <f t="shared" si="94"/>
        <v>6.0619667714414014</v>
      </c>
    </row>
    <row r="322" spans="1:18">
      <c r="A322" s="442" t="s">
        <v>19</v>
      </c>
      <c r="B322" s="442">
        <v>8</v>
      </c>
      <c r="C322" s="443">
        <f>C249+C234+C199+C67+C53+C9</f>
        <v>230</v>
      </c>
      <c r="D322" s="599">
        <f>D249+D234+D199+D67+D53+D9</f>
        <v>44.6</v>
      </c>
      <c r="E322" s="599">
        <f>E249+E234+E199+E67+E53+E9</f>
        <v>64.2</v>
      </c>
      <c r="F322" s="599">
        <f>F9+F53+F67+F199+F234+F249</f>
        <v>26.790000000000003</v>
      </c>
      <c r="G322" s="599">
        <f>G9+G53+G67+G199+G234+G249</f>
        <v>294.20000000000005</v>
      </c>
      <c r="H322" s="599">
        <f>H9+H53+H67+H199+H234+H249</f>
        <v>71.149999999999991</v>
      </c>
      <c r="I322" s="599">
        <f t="shared" si="91"/>
        <v>24.184228416043503</v>
      </c>
      <c r="J322" s="599">
        <f>J9+J53+J67+J199+J234+J249</f>
        <v>536.5</v>
      </c>
      <c r="K322" s="599">
        <f>K9+K53+K67+K199+K234+K249</f>
        <v>0</v>
      </c>
      <c r="L322" s="599">
        <f t="shared" si="92"/>
        <v>0</v>
      </c>
      <c r="M322" s="599">
        <f>M9+M53+M67+M199+M234+M249</f>
        <v>2378.4</v>
      </c>
      <c r="N322" s="599">
        <f>N9+N53+N67+N199+N234+N249</f>
        <v>635.64</v>
      </c>
      <c r="O322" s="599">
        <f t="shared" si="93"/>
        <v>26.725529767911198</v>
      </c>
      <c r="P322" s="599">
        <f>P9+P53+P67+P199+P234+P249</f>
        <v>3209.1000000000004</v>
      </c>
      <c r="Q322" s="599">
        <f>Q9+Q53+Q67+Q199+Q234+Q249</f>
        <v>706.79000000000008</v>
      </c>
      <c r="R322" s="599">
        <f t="shared" si="94"/>
        <v>22.02455517123181</v>
      </c>
    </row>
    <row r="323" spans="1:18">
      <c r="A323" s="571" t="s">
        <v>52</v>
      </c>
      <c r="B323" s="571">
        <v>1</v>
      </c>
      <c r="C323" s="599">
        <f>C200</f>
        <v>25</v>
      </c>
      <c r="D323" s="599">
        <f>D200</f>
        <v>0</v>
      </c>
      <c r="E323" s="599">
        <f>E200</f>
        <v>6.7</v>
      </c>
      <c r="F323" s="599">
        <f>F200</f>
        <v>0</v>
      </c>
      <c r="G323" s="599">
        <f>G200</f>
        <v>31.7</v>
      </c>
      <c r="H323" s="599">
        <v>0</v>
      </c>
      <c r="I323" s="599">
        <f t="shared" si="91"/>
        <v>0</v>
      </c>
      <c r="J323" s="599">
        <f>J200</f>
        <v>15.5</v>
      </c>
      <c r="K323" s="599">
        <v>2</v>
      </c>
      <c r="L323" s="599">
        <f t="shared" si="92"/>
        <v>12.903225806451612</v>
      </c>
      <c r="M323" s="599">
        <f>M200</f>
        <v>30.2</v>
      </c>
      <c r="N323" s="599">
        <v>18.649999999999999</v>
      </c>
      <c r="O323" s="599">
        <f t="shared" si="93"/>
        <v>61.754966887417218</v>
      </c>
      <c r="P323" s="599">
        <f>P200</f>
        <v>77.400000000000006</v>
      </c>
      <c r="Q323" s="599">
        <f>H323+K323+N323</f>
        <v>20.65</v>
      </c>
      <c r="R323" s="599">
        <f t="shared" si="94"/>
        <v>26.679586563307488</v>
      </c>
    </row>
    <row r="324" spans="1:18">
      <c r="A324" s="442" t="s">
        <v>496</v>
      </c>
      <c r="B324" s="442">
        <v>5</v>
      </c>
      <c r="C324" s="443">
        <f t="shared" ref="C324:H324" si="102">C235+C203+C136+C110</f>
        <v>233.14999999999998</v>
      </c>
      <c r="D324" s="599">
        <f t="shared" si="102"/>
        <v>7.87</v>
      </c>
      <c r="E324" s="599">
        <f t="shared" si="102"/>
        <v>44.3</v>
      </c>
      <c r="F324" s="599">
        <f t="shared" si="102"/>
        <v>34.5</v>
      </c>
      <c r="G324" s="599">
        <f t="shared" si="102"/>
        <v>277.45</v>
      </c>
      <c r="H324" s="599">
        <f t="shared" si="102"/>
        <v>42.37</v>
      </c>
      <c r="I324" s="599">
        <f t="shared" si="91"/>
        <v>15.271220039646781</v>
      </c>
      <c r="J324" s="599">
        <f>J235+J203+J136+J110</f>
        <v>38</v>
      </c>
      <c r="K324" s="599">
        <f>K235+K203+K136+K110</f>
        <v>1.81</v>
      </c>
      <c r="L324" s="599">
        <f t="shared" si="92"/>
        <v>4.7631578947368425</v>
      </c>
      <c r="M324" s="599">
        <f>M235+M203+M136+M110</f>
        <v>1514.6999999999998</v>
      </c>
      <c r="N324" s="599">
        <f>N235+N203+N136+N110</f>
        <v>45.010000000000005</v>
      </c>
      <c r="O324" s="599">
        <f t="shared" si="93"/>
        <v>2.9715455205651291</v>
      </c>
      <c r="P324" s="599">
        <f>P235+P203+P136+P110</f>
        <v>1830.1499999999999</v>
      </c>
      <c r="Q324" s="599">
        <f>Q235+Q203+Q136+Q110</f>
        <v>84.990000000000009</v>
      </c>
      <c r="R324" s="599">
        <f t="shared" si="94"/>
        <v>4.6438816490451611</v>
      </c>
    </row>
    <row r="325" spans="1:18">
      <c r="A325" s="442" t="s">
        <v>498</v>
      </c>
      <c r="B325" s="442">
        <v>1</v>
      </c>
      <c r="C325" s="443">
        <f>C202</f>
        <v>20</v>
      </c>
      <c r="D325" s="599">
        <f>D202</f>
        <v>0</v>
      </c>
      <c r="E325" s="599">
        <f>E202</f>
        <v>0</v>
      </c>
      <c r="F325" s="599">
        <f t="shared" ref="F325:Q325" si="103">F202</f>
        <v>0</v>
      </c>
      <c r="G325" s="599">
        <f t="shared" si="103"/>
        <v>20</v>
      </c>
      <c r="H325" s="599">
        <f t="shared" si="103"/>
        <v>0</v>
      </c>
      <c r="I325" s="599">
        <f t="shared" si="91"/>
        <v>0</v>
      </c>
      <c r="J325" s="599">
        <f t="shared" si="103"/>
        <v>10</v>
      </c>
      <c r="K325" s="599">
        <f t="shared" si="103"/>
        <v>0</v>
      </c>
      <c r="L325" s="599">
        <f t="shared" si="92"/>
        <v>0</v>
      </c>
      <c r="M325" s="599">
        <f t="shared" si="103"/>
        <v>10</v>
      </c>
      <c r="N325" s="599">
        <f t="shared" si="103"/>
        <v>0</v>
      </c>
      <c r="O325" s="599">
        <f t="shared" si="93"/>
        <v>0</v>
      </c>
      <c r="P325" s="599">
        <f t="shared" si="103"/>
        <v>40</v>
      </c>
      <c r="Q325" s="599">
        <f t="shared" si="103"/>
        <v>0</v>
      </c>
      <c r="R325" s="599">
        <f t="shared" si="94"/>
        <v>0</v>
      </c>
    </row>
    <row r="326" spans="1:18">
      <c r="A326" s="442" t="s">
        <v>51</v>
      </c>
      <c r="B326" s="442">
        <v>1</v>
      </c>
      <c r="C326" s="443">
        <f>C201</f>
        <v>30</v>
      </c>
      <c r="D326" s="599">
        <f>D201</f>
        <v>0</v>
      </c>
      <c r="E326" s="599">
        <f>E201</f>
        <v>0</v>
      </c>
      <c r="F326" s="599">
        <f t="shared" ref="F326:Q326" si="104">F201</f>
        <v>0</v>
      </c>
      <c r="G326" s="599">
        <f t="shared" si="104"/>
        <v>30</v>
      </c>
      <c r="H326" s="599">
        <f t="shared" si="104"/>
        <v>0</v>
      </c>
      <c r="I326" s="599">
        <f t="shared" si="91"/>
        <v>0</v>
      </c>
      <c r="J326" s="599">
        <f t="shared" si="104"/>
        <v>20</v>
      </c>
      <c r="K326" s="599">
        <f t="shared" si="104"/>
        <v>12.21</v>
      </c>
      <c r="L326" s="599">
        <f t="shared" si="92"/>
        <v>61.050000000000004</v>
      </c>
      <c r="M326" s="599">
        <f t="shared" si="104"/>
        <v>25.45</v>
      </c>
      <c r="N326" s="599">
        <f t="shared" si="104"/>
        <v>32</v>
      </c>
      <c r="O326" s="599">
        <f t="shared" si="93"/>
        <v>125.73673870333988</v>
      </c>
      <c r="P326" s="599">
        <f t="shared" si="104"/>
        <v>75.45</v>
      </c>
      <c r="Q326" s="599">
        <f t="shared" si="104"/>
        <v>44.21</v>
      </c>
      <c r="R326" s="599">
        <f t="shared" si="94"/>
        <v>58.595096090125907</v>
      </c>
    </row>
    <row r="327" spans="1:18">
      <c r="A327" s="442" t="s">
        <v>26</v>
      </c>
      <c r="B327" s="442">
        <v>5</v>
      </c>
      <c r="C327" s="443">
        <f>C246+C196+C109+C52</f>
        <v>80</v>
      </c>
      <c r="D327" s="599">
        <f>D52+D109+D196+D246</f>
        <v>100</v>
      </c>
      <c r="E327" s="599">
        <f>E246+E196+E109+E52</f>
        <v>1</v>
      </c>
      <c r="F327" s="599">
        <f>F246+F196+F109+F52</f>
        <v>261.03000000000003</v>
      </c>
      <c r="G327" s="599">
        <f>G246+G196+G109+G52</f>
        <v>81</v>
      </c>
      <c r="H327" s="599">
        <f>H246+H196+H109+H52</f>
        <v>361.03</v>
      </c>
      <c r="I327" s="599">
        <f t="shared" si="91"/>
        <v>445.71604938271605</v>
      </c>
      <c r="J327" s="599">
        <f>J246+J196+J109+J52</f>
        <v>234.25</v>
      </c>
      <c r="K327" s="599">
        <f>K246+K196+K109+K52</f>
        <v>0.30199999999999999</v>
      </c>
      <c r="L327" s="599">
        <f t="shared" si="92"/>
        <v>0.12892209178228387</v>
      </c>
      <c r="M327" s="599">
        <f>M246+M196+M109+M52</f>
        <v>32.5</v>
      </c>
      <c r="N327" s="599">
        <f>N246+N196+N109+N52</f>
        <v>411.84</v>
      </c>
      <c r="O327" s="599">
        <f t="shared" si="93"/>
        <v>1267.1999999999998</v>
      </c>
      <c r="P327" s="599">
        <f>P246+P196+P109+P52</f>
        <v>347.75</v>
      </c>
      <c r="Q327" s="599">
        <f>Q246+Q196+Q109+Q52</f>
        <v>773.17200000000014</v>
      </c>
      <c r="R327" s="599">
        <f t="shared" si="94"/>
        <v>222.33558590941774</v>
      </c>
    </row>
    <row r="328" spans="1:18">
      <c r="A328" s="571" t="s">
        <v>108</v>
      </c>
      <c r="B328" s="571">
        <v>1</v>
      </c>
      <c r="C328" s="599">
        <f>C204</f>
        <v>20</v>
      </c>
      <c r="D328" s="599">
        <f>D204</f>
        <v>0</v>
      </c>
      <c r="E328" s="599">
        <f>E204</f>
        <v>0</v>
      </c>
      <c r="F328" s="599">
        <f t="shared" ref="F328:P328" si="105">F204</f>
        <v>0</v>
      </c>
      <c r="G328" s="599">
        <f t="shared" si="105"/>
        <v>20</v>
      </c>
      <c r="H328" s="599">
        <f t="shared" si="105"/>
        <v>0</v>
      </c>
      <c r="I328" s="599">
        <f t="shared" si="91"/>
        <v>0</v>
      </c>
      <c r="J328" s="599">
        <f t="shared" si="105"/>
        <v>15</v>
      </c>
      <c r="K328" s="599">
        <f t="shared" si="105"/>
        <v>0</v>
      </c>
      <c r="L328" s="599">
        <f t="shared" si="92"/>
        <v>0</v>
      </c>
      <c r="M328" s="599">
        <f t="shared" si="105"/>
        <v>162.19999999999999</v>
      </c>
      <c r="N328" s="599">
        <v>216.27</v>
      </c>
      <c r="O328" s="599">
        <f t="shared" si="93"/>
        <v>133.33538840937115</v>
      </c>
      <c r="P328" s="599">
        <f t="shared" si="105"/>
        <v>197.2</v>
      </c>
      <c r="Q328" s="599">
        <f>H328+K328+N328</f>
        <v>216.27</v>
      </c>
      <c r="R328" s="599">
        <f t="shared" si="94"/>
        <v>109.67038539553752</v>
      </c>
    </row>
    <row r="329" spans="1:18">
      <c r="A329" s="571" t="s">
        <v>59</v>
      </c>
      <c r="B329" s="571">
        <v>1</v>
      </c>
      <c r="C329" s="599">
        <f>C204</f>
        <v>20</v>
      </c>
      <c r="D329" s="599">
        <f>D204</f>
        <v>0</v>
      </c>
      <c r="E329" s="599">
        <f>E204</f>
        <v>0</v>
      </c>
      <c r="F329" s="599">
        <f t="shared" ref="F329:K329" si="106">F204</f>
        <v>0</v>
      </c>
      <c r="G329" s="599">
        <f t="shared" si="106"/>
        <v>20</v>
      </c>
      <c r="H329" s="599">
        <f t="shared" si="106"/>
        <v>0</v>
      </c>
      <c r="I329" s="599">
        <f t="shared" si="91"/>
        <v>0</v>
      </c>
      <c r="J329" s="599">
        <f t="shared" si="106"/>
        <v>15</v>
      </c>
      <c r="K329" s="599">
        <f t="shared" si="106"/>
        <v>0</v>
      </c>
      <c r="L329" s="599">
        <f t="shared" si="92"/>
        <v>0</v>
      </c>
      <c r="M329" s="599">
        <f>M205</f>
        <v>10</v>
      </c>
      <c r="N329" s="599">
        <f>N205</f>
        <v>0</v>
      </c>
      <c r="O329" s="599">
        <f t="shared" si="93"/>
        <v>0</v>
      </c>
      <c r="P329" s="599">
        <f>P205</f>
        <v>45</v>
      </c>
      <c r="Q329" s="599">
        <f>Q205</f>
        <v>0</v>
      </c>
      <c r="R329" s="599">
        <f t="shared" si="94"/>
        <v>0</v>
      </c>
    </row>
    <row r="330" spans="1:18">
      <c r="A330" s="442" t="s">
        <v>60</v>
      </c>
      <c r="B330" s="442">
        <v>1</v>
      </c>
      <c r="C330" s="443">
        <f>C206</f>
        <v>15</v>
      </c>
      <c r="D330" s="599">
        <f>D206</f>
        <v>0</v>
      </c>
      <c r="E330" s="599">
        <f>E206</f>
        <v>0</v>
      </c>
      <c r="F330" s="599">
        <f t="shared" ref="F330:Q330" si="107">F206</f>
        <v>0</v>
      </c>
      <c r="G330" s="599">
        <f t="shared" si="107"/>
        <v>15</v>
      </c>
      <c r="H330" s="599">
        <f t="shared" si="107"/>
        <v>0</v>
      </c>
      <c r="I330" s="599">
        <f t="shared" si="91"/>
        <v>0</v>
      </c>
      <c r="J330" s="599">
        <f t="shared" si="107"/>
        <v>10</v>
      </c>
      <c r="K330" s="599">
        <f t="shared" si="107"/>
        <v>0</v>
      </c>
      <c r="L330" s="599">
        <f t="shared" si="92"/>
        <v>0</v>
      </c>
      <c r="M330" s="599">
        <f t="shared" si="107"/>
        <v>10</v>
      </c>
      <c r="N330" s="599">
        <f t="shared" si="107"/>
        <v>0</v>
      </c>
      <c r="O330" s="599">
        <f t="shared" si="93"/>
        <v>0</v>
      </c>
      <c r="P330" s="599">
        <f t="shared" si="107"/>
        <v>35</v>
      </c>
      <c r="Q330" s="599">
        <f t="shared" si="107"/>
        <v>0</v>
      </c>
      <c r="R330" s="599">
        <f t="shared" si="94"/>
        <v>0</v>
      </c>
    </row>
    <row r="331" spans="1:18">
      <c r="A331" s="442" t="s">
        <v>269</v>
      </c>
      <c r="B331" s="442">
        <v>37</v>
      </c>
      <c r="C331" s="443">
        <f>C12+C20+C37+C58+C70+C94+C102+C113+C122+C139+C156+C165+C209+C224+C237+C251</f>
        <v>147.68</v>
      </c>
      <c r="D331" s="599">
        <f>D12+D20+D37+D58+D70+D94+D102+D113+D122+D139+D156+D165+D209+D224+D237</f>
        <v>15.399999999999999</v>
      </c>
      <c r="E331" s="599">
        <f>E12+E20+E37+E58+E70+E94+E102+E113+E122+E139+E156+E165+E209+E224+E237+E251</f>
        <v>3115.81</v>
      </c>
      <c r="F331" s="599">
        <f>F12+F20+F37+F58+F70+F94+F102+F113+F122+F139+F156+F165+F209+F224+F237+F251</f>
        <v>895.68</v>
      </c>
      <c r="G331" s="599">
        <f>G12+G20+G37+G58+G70+G94+G102+G113+G122+G139+G156+G165+G209+G224+G237+G251</f>
        <v>3263.49</v>
      </c>
      <c r="H331" s="599">
        <f>H12+H20+H37+H58+H70+H94+H102+H113+H122+H139+H156+H165+H209+H224+H237+H251</f>
        <v>911.07999999999993</v>
      </c>
      <c r="I331" s="599">
        <f t="shared" si="91"/>
        <v>27.917352282372555</v>
      </c>
      <c r="J331" s="599">
        <f>J12+J20+J37+J58+J70+J94+J102+J113+J122+J139+J156+J165+J209+J224+J237+J251</f>
        <v>200.34999999999997</v>
      </c>
      <c r="K331" s="599">
        <f>K12+K20+K37+K58+K70+K94+K102+K113+K122+K139+K156+K165+K209+K224+K237+K251</f>
        <v>4.5</v>
      </c>
      <c r="L331" s="599">
        <f t="shared" si="92"/>
        <v>2.2460693785874724</v>
      </c>
      <c r="M331" s="599">
        <f>M12+M20+M37+M58+M70+M94+M102+M113+M122+M139+M156+M165+M209+M224+M237+M251</f>
        <v>1919.9500000000003</v>
      </c>
      <c r="N331" s="599">
        <f>N12+N20+N37+N58+N70+N94+N102+N113+N122+N139+N156+N165+N209+N224+N237+N251</f>
        <v>122.5</v>
      </c>
      <c r="O331" s="599">
        <f t="shared" si="93"/>
        <v>6.3803744889189815</v>
      </c>
      <c r="P331" s="599">
        <f>P12+P20+P37+P58+P70+P94+P102+P113+P122+P139+P156+P165+P209+P224+P237+P251</f>
        <v>5383.79</v>
      </c>
      <c r="Q331" s="599">
        <f>Q12+Q20+Q37+Q58+Q70+Q94+Q102+Q113+Q122+Q139+Q156+Q165+Q209+Q224+Q237+Q251</f>
        <v>1038.08</v>
      </c>
      <c r="R331" s="599">
        <f t="shared" si="94"/>
        <v>19.281584162829528</v>
      </c>
    </row>
    <row r="332" spans="1:18">
      <c r="A332" s="442" t="s">
        <v>16</v>
      </c>
      <c r="B332" s="442">
        <v>28</v>
      </c>
      <c r="C332" s="443">
        <f t="shared" ref="C332:H332" si="108">C11+C36+C57+C69+C79+C93+C112+C121+C208</f>
        <v>640</v>
      </c>
      <c r="D332" s="599">
        <f t="shared" si="108"/>
        <v>519.64</v>
      </c>
      <c r="E332" s="599">
        <f t="shared" si="108"/>
        <v>221.60000000000002</v>
      </c>
      <c r="F332" s="599">
        <f t="shared" si="108"/>
        <v>90.7</v>
      </c>
      <c r="G332" s="599">
        <f t="shared" si="108"/>
        <v>861.59999999999991</v>
      </c>
      <c r="H332" s="599">
        <f t="shared" si="108"/>
        <v>610.33999999999992</v>
      </c>
      <c r="I332" s="599">
        <f t="shared" si="91"/>
        <v>70.837975858867225</v>
      </c>
      <c r="J332" s="599">
        <f>J11+J36+J57+J69+J79+J93+J112+J121+J208</f>
        <v>59.749999999999993</v>
      </c>
      <c r="K332" s="599">
        <f>K11+K36+K57+K69+K79+K93+K112+K121+K208</f>
        <v>215</v>
      </c>
      <c r="L332" s="599">
        <f t="shared" si="92"/>
        <v>359.83263598326363</v>
      </c>
      <c r="M332" s="599">
        <f>M11+M36+M57+M69+M79+M93+M112+M121+M208</f>
        <v>2592</v>
      </c>
      <c r="N332" s="599">
        <f>N11+N36+N57+N69+N79+N93+N112+N121+N208</f>
        <v>1769.75</v>
      </c>
      <c r="O332" s="599">
        <f t="shared" si="93"/>
        <v>68.277391975308646</v>
      </c>
      <c r="P332" s="599">
        <f>P11+P36+P57+P69+P79+P93+P112+P121+P208</f>
        <v>3513.35</v>
      </c>
      <c r="Q332" s="599">
        <f>Q11+Q36+Q57+Q69+Q79+Q93+Q112+Q121+Q208</f>
        <v>2595.0899999999997</v>
      </c>
      <c r="R332" s="599">
        <f t="shared" si="94"/>
        <v>73.863691348712763</v>
      </c>
    </row>
    <row r="333" spans="1:18">
      <c r="A333" s="444" t="s">
        <v>63</v>
      </c>
      <c r="B333" s="637">
        <f t="shared" ref="B333:G333" si="109">SUM(B307:B332)</f>
        <v>187</v>
      </c>
      <c r="C333" s="443">
        <f t="shared" si="109"/>
        <v>4909.2800000000007</v>
      </c>
      <c r="D333" s="599">
        <f t="shared" si="109"/>
        <v>1084.8499999999999</v>
      </c>
      <c r="E333" s="599">
        <f t="shared" si="109"/>
        <v>7846.33</v>
      </c>
      <c r="F333" s="599">
        <f t="shared" si="109"/>
        <v>3053.3599999999997</v>
      </c>
      <c r="G333" s="599">
        <f t="shared" si="109"/>
        <v>12755.609999999999</v>
      </c>
      <c r="H333" s="599">
        <f>D333+F333</f>
        <v>4138.2099999999991</v>
      </c>
      <c r="I333" s="599">
        <f t="shared" si="91"/>
        <v>32.442274418863533</v>
      </c>
      <c r="J333" s="599">
        <f>SUM(J307:J332)</f>
        <v>6059.85</v>
      </c>
      <c r="K333" s="599">
        <f>SUM(K307:K332)</f>
        <v>3813.7420000000002</v>
      </c>
      <c r="L333" s="599">
        <f t="shared" si="92"/>
        <v>62.934594090612805</v>
      </c>
      <c r="M333" s="599">
        <f>SUM(M307:M332)</f>
        <v>29299.050000000003</v>
      </c>
      <c r="N333" s="599">
        <f>SUM(N307:N332)</f>
        <v>12363.359999999999</v>
      </c>
      <c r="O333" s="599">
        <f t="shared" si="93"/>
        <v>42.197136084617071</v>
      </c>
      <c r="P333" s="599">
        <f>SUM(P307:P332)</f>
        <v>48114.509999999995</v>
      </c>
      <c r="Q333" s="599">
        <f>H333+K333+N333</f>
        <v>20315.311999999998</v>
      </c>
      <c r="R333" s="599">
        <f t="shared" si="94"/>
        <v>42.222838806838105</v>
      </c>
    </row>
  </sheetData>
  <mergeCells count="219">
    <mergeCell ref="A1:R1"/>
    <mergeCell ref="B4:C4"/>
    <mergeCell ref="D4:M4"/>
    <mergeCell ref="Q4:R4"/>
    <mergeCell ref="A5:A6"/>
    <mergeCell ref="B5:B6"/>
    <mergeCell ref="C5:D5"/>
    <mergeCell ref="E5:F5"/>
    <mergeCell ref="G5:I5"/>
    <mergeCell ref="J5:L5"/>
    <mergeCell ref="M5:O5"/>
    <mergeCell ref="P5:R5"/>
    <mergeCell ref="B15:C15"/>
    <mergeCell ref="A16:A17"/>
    <mergeCell ref="B16:B17"/>
    <mergeCell ref="C16:D16"/>
    <mergeCell ref="E16:F16"/>
    <mergeCell ref="G16:I16"/>
    <mergeCell ref="J16:L16"/>
    <mergeCell ref="M16:O16"/>
    <mergeCell ref="P16:R16"/>
    <mergeCell ref="D23:M23"/>
    <mergeCell ref="A24:A25"/>
    <mergeCell ref="B24:B25"/>
    <mergeCell ref="C24:D24"/>
    <mergeCell ref="E24:F24"/>
    <mergeCell ref="G24:I24"/>
    <mergeCell ref="J24:L24"/>
    <mergeCell ref="M24:O24"/>
    <mergeCell ref="P24:R24"/>
    <mergeCell ref="B30:C30"/>
    <mergeCell ref="D30:M30"/>
    <mergeCell ref="A31:A32"/>
    <mergeCell ref="B31:B32"/>
    <mergeCell ref="C31:D31"/>
    <mergeCell ref="E31:F31"/>
    <mergeCell ref="G31:I31"/>
    <mergeCell ref="J31:L31"/>
    <mergeCell ref="M31:O31"/>
    <mergeCell ref="P31:R31"/>
    <mergeCell ref="A44:R44"/>
    <mergeCell ref="B45:C45"/>
    <mergeCell ref="D45:N45"/>
    <mergeCell ref="Q45:R45"/>
    <mergeCell ref="A46:A47"/>
    <mergeCell ref="B46:B47"/>
    <mergeCell ref="C46:D46"/>
    <mergeCell ref="E46:F46"/>
    <mergeCell ref="G46:I46"/>
    <mergeCell ref="J46:L46"/>
    <mergeCell ref="M46:O46"/>
    <mergeCell ref="P46:R46"/>
    <mergeCell ref="B62:C62"/>
    <mergeCell ref="D62:M62"/>
    <mergeCell ref="A63:A64"/>
    <mergeCell ref="B63:B64"/>
    <mergeCell ref="C63:D63"/>
    <mergeCell ref="E63:F63"/>
    <mergeCell ref="G63:I63"/>
    <mergeCell ref="J75:L75"/>
    <mergeCell ref="M75:O75"/>
    <mergeCell ref="P75:R75"/>
    <mergeCell ref="A87:R87"/>
    <mergeCell ref="B88:C88"/>
    <mergeCell ref="D88:P88"/>
    <mergeCell ref="Q88:R88"/>
    <mergeCell ref="J63:L63"/>
    <mergeCell ref="M63:O63"/>
    <mergeCell ref="P63:R63"/>
    <mergeCell ref="B74:C74"/>
    <mergeCell ref="D74:M74"/>
    <mergeCell ref="A75:A76"/>
    <mergeCell ref="B75:B76"/>
    <mergeCell ref="C75:D75"/>
    <mergeCell ref="E75:F75"/>
    <mergeCell ref="G75:I75"/>
    <mergeCell ref="P89:R89"/>
    <mergeCell ref="B97:C97"/>
    <mergeCell ref="D97:R97"/>
    <mergeCell ref="A98:A99"/>
    <mergeCell ref="B98:B99"/>
    <mergeCell ref="C98:D98"/>
    <mergeCell ref="E98:F98"/>
    <mergeCell ref="G98:I98"/>
    <mergeCell ref="J98:L98"/>
    <mergeCell ref="M98:O98"/>
    <mergeCell ref="A89:A90"/>
    <mergeCell ref="C89:D89"/>
    <mergeCell ref="E89:F89"/>
    <mergeCell ref="G89:I89"/>
    <mergeCell ref="J89:L89"/>
    <mergeCell ref="M89:O89"/>
    <mergeCell ref="P98:R98"/>
    <mergeCell ref="B105:D105"/>
    <mergeCell ref="E105:R105"/>
    <mergeCell ref="A106:A107"/>
    <mergeCell ref="B106:B107"/>
    <mergeCell ref="C106:D106"/>
    <mergeCell ref="E106:F106"/>
    <mergeCell ref="G106:I106"/>
    <mergeCell ref="J106:L106"/>
    <mergeCell ref="M106:O106"/>
    <mergeCell ref="P106:R106"/>
    <mergeCell ref="B116:C116"/>
    <mergeCell ref="D116:R116"/>
    <mergeCell ref="A117:A118"/>
    <mergeCell ref="B117:B118"/>
    <mergeCell ref="C117:D117"/>
    <mergeCell ref="E117:F117"/>
    <mergeCell ref="G117:I117"/>
    <mergeCell ref="J117:L117"/>
    <mergeCell ref="M117:O117"/>
    <mergeCell ref="P117:R117"/>
    <mergeCell ref="A130:R130"/>
    <mergeCell ref="D131:P131"/>
    <mergeCell ref="Q131:R131"/>
    <mergeCell ref="A132:A133"/>
    <mergeCell ref="B132:B133"/>
    <mergeCell ref="C132:D132"/>
    <mergeCell ref="E132:F132"/>
    <mergeCell ref="G132:I132"/>
    <mergeCell ref="J132:L132"/>
    <mergeCell ref="M132:O132"/>
    <mergeCell ref="P132:R132"/>
    <mergeCell ref="D143:R143"/>
    <mergeCell ref="A144:A145"/>
    <mergeCell ref="B144:B145"/>
    <mergeCell ref="C144:D144"/>
    <mergeCell ref="E144:F144"/>
    <mergeCell ref="G144:I144"/>
    <mergeCell ref="J144:L144"/>
    <mergeCell ref="M144:O144"/>
    <mergeCell ref="P144:R144"/>
    <mergeCell ref="D151:R151"/>
    <mergeCell ref="A152:A153"/>
    <mergeCell ref="B152:B153"/>
    <mergeCell ref="C152:D152"/>
    <mergeCell ref="E152:F152"/>
    <mergeCell ref="G152:I152"/>
    <mergeCell ref="J152:L152"/>
    <mergeCell ref="M152:O152"/>
    <mergeCell ref="P152:R152"/>
    <mergeCell ref="D160:R160"/>
    <mergeCell ref="A161:A162"/>
    <mergeCell ref="B161:B162"/>
    <mergeCell ref="C161:D161"/>
    <mergeCell ref="E161:F161"/>
    <mergeCell ref="G161:I161"/>
    <mergeCell ref="J161:L161"/>
    <mergeCell ref="M161:O161"/>
    <mergeCell ref="P161:R161"/>
    <mergeCell ref="A173:R173"/>
    <mergeCell ref="Q174:R174"/>
    <mergeCell ref="A175:A176"/>
    <mergeCell ref="B175:B176"/>
    <mergeCell ref="C175:D175"/>
    <mergeCell ref="E175:F175"/>
    <mergeCell ref="G175:I175"/>
    <mergeCell ref="J175:L175"/>
    <mergeCell ref="M175:O175"/>
    <mergeCell ref="P175:R175"/>
    <mergeCell ref="D180:R180"/>
    <mergeCell ref="A181:A182"/>
    <mergeCell ref="B181:B182"/>
    <mergeCell ref="C181:D181"/>
    <mergeCell ref="E181:F181"/>
    <mergeCell ref="G181:I181"/>
    <mergeCell ref="J181:L181"/>
    <mergeCell ref="M181:O181"/>
    <mergeCell ref="P181:R181"/>
    <mergeCell ref="A216:R216"/>
    <mergeCell ref="Q218:R218"/>
    <mergeCell ref="A219:A220"/>
    <mergeCell ref="B219:B220"/>
    <mergeCell ref="C219:D219"/>
    <mergeCell ref="E219:F219"/>
    <mergeCell ref="G219:I219"/>
    <mergeCell ref="J219:L219"/>
    <mergeCell ref="M219:O219"/>
    <mergeCell ref="P219:R219"/>
    <mergeCell ref="D228:R228"/>
    <mergeCell ref="A229:A230"/>
    <mergeCell ref="B229:B230"/>
    <mergeCell ref="C229:D229"/>
    <mergeCell ref="E229:F229"/>
    <mergeCell ref="G229:I229"/>
    <mergeCell ref="J229:L229"/>
    <mergeCell ref="M229:O229"/>
    <mergeCell ref="P229:R229"/>
    <mergeCell ref="D241:R241"/>
    <mergeCell ref="A242:A243"/>
    <mergeCell ref="B242:B243"/>
    <mergeCell ref="C242:D242"/>
    <mergeCell ref="E242:F242"/>
    <mergeCell ref="G242:I242"/>
    <mergeCell ref="J242:L242"/>
    <mergeCell ref="M242:O242"/>
    <mergeCell ref="P242:R242"/>
    <mergeCell ref="A259:R259"/>
    <mergeCell ref="Q264:R264"/>
    <mergeCell ref="A265:A266"/>
    <mergeCell ref="B265:B266"/>
    <mergeCell ref="C265:D265"/>
    <mergeCell ref="E265:F265"/>
    <mergeCell ref="G265:I265"/>
    <mergeCell ref="J265:L265"/>
    <mergeCell ref="M265:O265"/>
    <mergeCell ref="P265:R265"/>
    <mergeCell ref="P305:R305"/>
    <mergeCell ref="A302:R302"/>
    <mergeCell ref="D303:N303"/>
    <mergeCell ref="Q304:R304"/>
    <mergeCell ref="A305:A306"/>
    <mergeCell ref="B305:B306"/>
    <mergeCell ref="C305:D305"/>
    <mergeCell ref="E305:F305"/>
    <mergeCell ref="G305:I305"/>
    <mergeCell ref="J305:L305"/>
    <mergeCell ref="M305:O305"/>
  </mergeCells>
  <printOptions gridLines="1"/>
  <pageMargins left="0.7" right="0.7" top="0.75" bottom="0.75" header="0.3" footer="0.3"/>
  <pageSetup paperSize="9" scale="77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299"/>
  <sheetViews>
    <sheetView workbookViewId="0">
      <selection activeCell="I5" sqref="I5"/>
    </sheetView>
  </sheetViews>
  <sheetFormatPr defaultRowHeight="15"/>
  <cols>
    <col min="2" max="2" width="20.7109375" bestFit="1" customWidth="1"/>
    <col min="3" max="3" width="10.85546875" bestFit="1" customWidth="1"/>
    <col min="4" max="4" width="20.28515625" bestFit="1" customWidth="1"/>
    <col min="5" max="5" width="11.5703125" bestFit="1" customWidth="1"/>
    <col min="6" max="6" width="10.7109375" bestFit="1" customWidth="1"/>
    <col min="7" max="7" width="11" bestFit="1" customWidth="1"/>
    <col min="9" max="12" width="9.5703125" bestFit="1" customWidth="1"/>
  </cols>
  <sheetData>
    <row r="1" spans="2:7" ht="15.75">
      <c r="B1" s="1647">
        <v>53</v>
      </c>
      <c r="C1" s="1647"/>
      <c r="D1" s="1647"/>
      <c r="E1" s="1647"/>
      <c r="F1" s="1647"/>
      <c r="G1" s="1647"/>
    </row>
    <row r="2" spans="2:7">
      <c r="B2" s="1462" t="s">
        <v>0</v>
      </c>
      <c r="C2" s="1462"/>
      <c r="D2" s="1462"/>
      <c r="E2" s="1462"/>
      <c r="F2" s="1462"/>
      <c r="G2" s="1462"/>
    </row>
    <row r="3" spans="2:7">
      <c r="B3" s="1"/>
      <c r="C3" s="1463" t="s">
        <v>563</v>
      </c>
      <c r="D3" s="1463"/>
      <c r="E3" s="1463"/>
      <c r="F3" s="1463"/>
      <c r="G3" s="4"/>
    </row>
    <row r="4" spans="2:7">
      <c r="B4" s="3" t="s">
        <v>1</v>
      </c>
      <c r="C4" s="3"/>
      <c r="D4" s="84" t="s">
        <v>2</v>
      </c>
      <c r="E4" s="2"/>
      <c r="F4" s="6"/>
      <c r="G4" s="5" t="s">
        <v>3</v>
      </c>
    </row>
    <row r="5" spans="2:7" ht="25.5">
      <c r="B5" s="61" t="s">
        <v>4</v>
      </c>
      <c r="C5" s="61" t="s">
        <v>5</v>
      </c>
      <c r="D5" s="61" t="s">
        <v>6</v>
      </c>
      <c r="E5" s="61" t="s">
        <v>7</v>
      </c>
      <c r="F5" s="61" t="s">
        <v>8</v>
      </c>
      <c r="G5" s="61" t="s">
        <v>9</v>
      </c>
    </row>
    <row r="6" spans="2:7">
      <c r="B6" s="25">
        <v>1</v>
      </c>
      <c r="C6" s="26" t="s">
        <v>10</v>
      </c>
      <c r="D6" s="25">
        <v>1</v>
      </c>
      <c r="E6" s="72">
        <v>5743.35</v>
      </c>
      <c r="F6" s="72">
        <v>1911.79</v>
      </c>
      <c r="G6" s="72">
        <f>F6/E6%</f>
        <v>33.287018900119264</v>
      </c>
    </row>
    <row r="7" spans="2:7">
      <c r="B7" s="25">
        <v>3</v>
      </c>
      <c r="C7" s="26" t="s">
        <v>12</v>
      </c>
      <c r="D7" s="25">
        <v>3</v>
      </c>
      <c r="E7" s="7">
        <v>1022.81</v>
      </c>
      <c r="F7" s="72">
        <v>189.75</v>
      </c>
      <c r="G7" s="72">
        <f t="shared" ref="G7:G8" si="0">F7/E7%</f>
        <v>18.551832696199686</v>
      </c>
    </row>
    <row r="8" spans="2:7">
      <c r="B8" s="66"/>
      <c r="C8" s="182" t="s">
        <v>13</v>
      </c>
      <c r="D8" s="183">
        <f>SUM(D6:D7)</f>
        <v>4</v>
      </c>
      <c r="E8" s="183">
        <f t="shared" ref="E8:F8" si="1">SUM(E6:E7)</f>
        <v>6766.16</v>
      </c>
      <c r="F8" s="183">
        <f t="shared" si="1"/>
        <v>2101.54</v>
      </c>
      <c r="G8" s="72">
        <f t="shared" si="0"/>
        <v>31.059567021767151</v>
      </c>
    </row>
    <row r="9" spans="2:7">
      <c r="B9" s="3" t="s">
        <v>1</v>
      </c>
      <c r="C9" s="3"/>
      <c r="D9" s="84" t="s">
        <v>14</v>
      </c>
      <c r="E9" s="20"/>
      <c r="F9" s="19"/>
      <c r="G9" s="19"/>
    </row>
    <row r="10" spans="2:7" ht="25.5">
      <c r="B10" s="61" t="s">
        <v>4</v>
      </c>
      <c r="C10" s="61" t="s">
        <v>5</v>
      </c>
      <c r="D10" s="61" t="s">
        <v>6</v>
      </c>
      <c r="E10" s="61" t="s">
        <v>7</v>
      </c>
      <c r="F10" s="61" t="s">
        <v>8</v>
      </c>
      <c r="G10" s="61" t="s">
        <v>9</v>
      </c>
    </row>
    <row r="11" spans="2:7">
      <c r="B11" s="21">
        <v>1</v>
      </c>
      <c r="C11" s="16" t="s">
        <v>10</v>
      </c>
      <c r="D11" s="22">
        <v>1</v>
      </c>
      <c r="E11" s="18">
        <v>4152.38</v>
      </c>
      <c r="F11" s="18">
        <v>1334.83</v>
      </c>
      <c r="G11" s="18">
        <f>F11/E11%</f>
        <v>32.146142694069425</v>
      </c>
    </row>
    <row r="12" spans="2:7">
      <c r="B12" s="66"/>
      <c r="C12" s="182" t="s">
        <v>13</v>
      </c>
      <c r="D12" s="183">
        <v>1</v>
      </c>
      <c r="E12" s="184">
        <v>4152.38</v>
      </c>
      <c r="F12" s="184">
        <v>1334.83</v>
      </c>
      <c r="G12" s="18">
        <f>F12/E12%</f>
        <v>32.146142694069425</v>
      </c>
    </row>
    <row r="13" spans="2:7">
      <c r="B13" s="3" t="s">
        <v>1</v>
      </c>
      <c r="C13" s="3"/>
      <c r="D13" s="84" t="s">
        <v>15</v>
      </c>
      <c r="E13" s="20"/>
      <c r="F13" s="6"/>
      <c r="G13" s="5"/>
    </row>
    <row r="14" spans="2:7" ht="25.5">
      <c r="B14" s="61" t="s">
        <v>4</v>
      </c>
      <c r="C14" s="61" t="s">
        <v>5</v>
      </c>
      <c r="D14" s="61" t="s">
        <v>6</v>
      </c>
      <c r="E14" s="61" t="s">
        <v>7</v>
      </c>
      <c r="F14" s="61" t="s">
        <v>8</v>
      </c>
      <c r="G14" s="61" t="s">
        <v>9</v>
      </c>
    </row>
    <row r="15" spans="2:7">
      <c r="B15" s="25">
        <v>1</v>
      </c>
      <c r="C15" s="26" t="s">
        <v>10</v>
      </c>
      <c r="D15" s="25">
        <v>2</v>
      </c>
      <c r="E15" s="72">
        <v>18565.64</v>
      </c>
      <c r="F15" s="72">
        <v>12258.12</v>
      </c>
      <c r="G15" s="72">
        <f>F15/E15%</f>
        <v>66.02584128529908</v>
      </c>
    </row>
    <row r="16" spans="2:7">
      <c r="B16" s="25">
        <v>2</v>
      </c>
      <c r="C16" s="26" t="s">
        <v>12</v>
      </c>
      <c r="D16" s="25">
        <v>1</v>
      </c>
      <c r="E16" s="72">
        <v>1492.65</v>
      </c>
      <c r="F16" s="72">
        <v>1172.96</v>
      </c>
      <c r="G16" s="72">
        <f t="shared" ref="G16:G19" si="2">F16/E16%</f>
        <v>78.582387029779255</v>
      </c>
    </row>
    <row r="17" spans="2:7">
      <c r="B17" s="25">
        <v>3</v>
      </c>
      <c r="C17" s="26" t="s">
        <v>16</v>
      </c>
      <c r="D17" s="25">
        <v>3</v>
      </c>
      <c r="E17" s="72">
        <v>9000.2199999999993</v>
      </c>
      <c r="F17" s="72">
        <v>1309.19</v>
      </c>
      <c r="G17" s="72">
        <f t="shared" si="2"/>
        <v>14.546199981778226</v>
      </c>
    </row>
    <row r="18" spans="2:7">
      <c r="B18" s="25">
        <v>4</v>
      </c>
      <c r="C18" s="26" t="s">
        <v>17</v>
      </c>
      <c r="D18" s="25">
        <v>1</v>
      </c>
      <c r="E18" s="72">
        <v>924.02</v>
      </c>
      <c r="F18" s="72">
        <v>269.39999999999998</v>
      </c>
      <c r="G18" s="72">
        <f t="shared" si="2"/>
        <v>29.155213090625743</v>
      </c>
    </row>
    <row r="19" spans="2:7">
      <c r="B19" s="65"/>
      <c r="C19" s="182" t="s">
        <v>13</v>
      </c>
      <c r="D19" s="183">
        <f>SUM(D15:D18)</f>
        <v>7</v>
      </c>
      <c r="E19" s="183">
        <f t="shared" ref="E19:F19" si="3">SUM(E15:E18)</f>
        <v>29982.530000000002</v>
      </c>
      <c r="F19" s="183">
        <f t="shared" si="3"/>
        <v>15009.670000000002</v>
      </c>
      <c r="G19" s="185">
        <f t="shared" si="2"/>
        <v>50.06138574696665</v>
      </c>
    </row>
    <row r="20" spans="2:7">
      <c r="B20" s="3" t="s">
        <v>1</v>
      </c>
      <c r="C20" s="3"/>
      <c r="D20" s="84" t="s">
        <v>18</v>
      </c>
      <c r="E20" s="20"/>
      <c r="F20" s="6"/>
      <c r="G20" s="5"/>
    </row>
    <row r="21" spans="2:7" ht="25.5">
      <c r="B21" s="58" t="s">
        <v>4</v>
      </c>
      <c r="C21" s="58" t="s">
        <v>5</v>
      </c>
      <c r="D21" s="58" t="s">
        <v>6</v>
      </c>
      <c r="E21" s="58" t="s">
        <v>7</v>
      </c>
      <c r="F21" s="58" t="s">
        <v>8</v>
      </c>
      <c r="G21" s="58" t="s">
        <v>9</v>
      </c>
    </row>
    <row r="22" spans="2:7">
      <c r="B22" s="8">
        <v>1</v>
      </c>
      <c r="C22" s="9" t="s">
        <v>10</v>
      </c>
      <c r="D22" s="8">
        <v>4</v>
      </c>
      <c r="E22" s="39">
        <v>26068.9</v>
      </c>
      <c r="F22" s="39">
        <v>14731.33</v>
      </c>
      <c r="G22" s="39">
        <f>F22/E22%</f>
        <v>56.509212126326766</v>
      </c>
    </row>
    <row r="23" spans="2:7">
      <c r="B23" s="8">
        <v>2</v>
      </c>
      <c r="C23" s="9" t="s">
        <v>19</v>
      </c>
      <c r="D23" s="8">
        <v>1</v>
      </c>
      <c r="E23" s="39">
        <v>1192</v>
      </c>
      <c r="F23" s="39">
        <v>531</v>
      </c>
      <c r="G23" s="39">
        <f t="shared" ref="G23:G27" si="4">F23/E23%</f>
        <v>44.54697986577181</v>
      </c>
    </row>
    <row r="24" spans="2:7">
      <c r="B24" s="73">
        <v>3</v>
      </c>
      <c r="C24" s="74" t="s">
        <v>17</v>
      </c>
      <c r="D24" s="73">
        <v>1</v>
      </c>
      <c r="E24" s="40">
        <v>9488</v>
      </c>
      <c r="F24" s="40">
        <v>1294</v>
      </c>
      <c r="G24" s="40">
        <f t="shared" si="4"/>
        <v>13.638279932546375</v>
      </c>
    </row>
    <row r="25" spans="2:7">
      <c r="B25" s="8">
        <v>4</v>
      </c>
      <c r="C25" s="9" t="s">
        <v>12</v>
      </c>
      <c r="D25" s="8">
        <v>2</v>
      </c>
      <c r="E25" s="39">
        <v>2613.41</v>
      </c>
      <c r="F25" s="39">
        <v>1920.62</v>
      </c>
      <c r="G25" s="39">
        <f t="shared" si="4"/>
        <v>73.490956260211746</v>
      </c>
    </row>
    <row r="26" spans="2:7">
      <c r="B26" s="8">
        <v>5</v>
      </c>
      <c r="C26" s="9" t="s">
        <v>16</v>
      </c>
      <c r="D26" s="8">
        <v>3</v>
      </c>
      <c r="E26" s="39">
        <v>5625.36</v>
      </c>
      <c r="F26" s="39">
        <v>1625.97</v>
      </c>
      <c r="G26" s="39">
        <f t="shared" si="4"/>
        <v>28.904283459191948</v>
      </c>
    </row>
    <row r="27" spans="2:7">
      <c r="B27" s="74"/>
      <c r="C27" s="93" t="s">
        <v>13</v>
      </c>
      <c r="D27" s="94">
        <f>SUM(D22:D26)</f>
        <v>11</v>
      </c>
      <c r="E27" s="94">
        <f t="shared" ref="E27:F27" si="5">SUM(E22:E26)</f>
        <v>44987.67</v>
      </c>
      <c r="F27" s="94">
        <f t="shared" si="5"/>
        <v>20102.920000000002</v>
      </c>
      <c r="G27" s="40">
        <f t="shared" si="4"/>
        <v>44.685399354978827</v>
      </c>
    </row>
    <row r="28" spans="2:7">
      <c r="B28" s="3" t="s">
        <v>1</v>
      </c>
      <c r="C28" s="3"/>
      <c r="D28" s="86" t="s">
        <v>20</v>
      </c>
      <c r="E28" s="20"/>
      <c r="F28" s="6"/>
      <c r="G28" s="5"/>
    </row>
    <row r="29" spans="2:7" ht="25.5">
      <c r="B29" s="58" t="s">
        <v>4</v>
      </c>
      <c r="C29" s="58" t="s">
        <v>5</v>
      </c>
      <c r="D29" s="58" t="s">
        <v>6</v>
      </c>
      <c r="E29" s="58" t="s">
        <v>7</v>
      </c>
      <c r="F29" s="58" t="s">
        <v>8</v>
      </c>
      <c r="G29" s="58" t="s">
        <v>9</v>
      </c>
    </row>
    <row r="30" spans="2:7">
      <c r="B30" s="8">
        <v>1</v>
      </c>
      <c r="C30" s="9" t="s">
        <v>10</v>
      </c>
      <c r="D30" s="8">
        <v>2</v>
      </c>
      <c r="E30" s="39">
        <v>17889.810000000001</v>
      </c>
      <c r="F30" s="39">
        <v>3952</v>
      </c>
      <c r="G30" s="39">
        <f>F30/E30%</f>
        <v>22.090787996071505</v>
      </c>
    </row>
    <row r="31" spans="2:7">
      <c r="B31" s="8">
        <v>2</v>
      </c>
      <c r="C31" s="9" t="s">
        <v>12</v>
      </c>
      <c r="D31" s="8">
        <v>3</v>
      </c>
      <c r="E31" s="11">
        <v>1243.3599999999999</v>
      </c>
      <c r="F31" s="39">
        <v>541.41</v>
      </c>
      <c r="G31" s="39">
        <f t="shared" ref="G31:G33" si="6">F31/E31%</f>
        <v>43.544106292626438</v>
      </c>
    </row>
    <row r="32" spans="2:7">
      <c r="B32" s="8">
        <v>3</v>
      </c>
      <c r="C32" s="9" t="s">
        <v>16</v>
      </c>
      <c r="D32" s="8">
        <v>2</v>
      </c>
      <c r="E32" s="39">
        <v>1820.11</v>
      </c>
      <c r="F32" s="39">
        <v>99.41</v>
      </c>
      <c r="G32" s="39">
        <f t="shared" si="6"/>
        <v>5.461757805846899</v>
      </c>
    </row>
    <row r="33" spans="2:7">
      <c r="B33" s="68"/>
      <c r="C33" s="93" t="s">
        <v>13</v>
      </c>
      <c r="D33" s="94">
        <f>SUM(D30:D32)</f>
        <v>7</v>
      </c>
      <c r="E33" s="94">
        <f t="shared" ref="E33:F33" si="7">SUM(E30:E32)</f>
        <v>20953.280000000002</v>
      </c>
      <c r="F33" s="94">
        <f t="shared" si="7"/>
        <v>4592.82</v>
      </c>
      <c r="G33" s="40">
        <f t="shared" si="6"/>
        <v>21.919336733914683</v>
      </c>
    </row>
    <row r="34" spans="2:7">
      <c r="B34" s="3" t="s">
        <v>1</v>
      </c>
      <c r="C34" s="3"/>
      <c r="D34" s="84" t="s">
        <v>21</v>
      </c>
      <c r="E34" s="20"/>
      <c r="F34" s="6"/>
      <c r="G34" s="5"/>
    </row>
    <row r="35" spans="2:7" ht="25.5">
      <c r="B35" s="58" t="s">
        <v>4</v>
      </c>
      <c r="C35" s="58" t="s">
        <v>5</v>
      </c>
      <c r="D35" s="58" t="s">
        <v>6</v>
      </c>
      <c r="E35" s="58" t="s">
        <v>7</v>
      </c>
      <c r="F35" s="58" t="s">
        <v>8</v>
      </c>
      <c r="G35" s="58" t="s">
        <v>9</v>
      </c>
    </row>
    <row r="36" spans="2:7">
      <c r="B36" s="8">
        <v>1</v>
      </c>
      <c r="C36" s="9" t="s">
        <v>10</v>
      </c>
      <c r="D36" s="8">
        <v>5</v>
      </c>
      <c r="E36" s="39">
        <v>55161.18</v>
      </c>
      <c r="F36" s="39">
        <v>19832.82</v>
      </c>
      <c r="G36" s="39">
        <f>F36/E36%</f>
        <v>35.954306996333287</v>
      </c>
    </row>
    <row r="37" spans="2:7">
      <c r="B37" s="8">
        <v>2</v>
      </c>
      <c r="C37" s="9" t="s">
        <v>22</v>
      </c>
      <c r="D37" s="8">
        <v>1</v>
      </c>
      <c r="E37" s="39">
        <v>0.18</v>
      </c>
      <c r="F37" s="39">
        <v>0</v>
      </c>
      <c r="G37" s="39">
        <f t="shared" ref="G37:G42" si="8">F37/E37%</f>
        <v>0</v>
      </c>
    </row>
    <row r="38" spans="2:7">
      <c r="B38" s="8">
        <v>3</v>
      </c>
      <c r="C38" s="9" t="s">
        <v>23</v>
      </c>
      <c r="D38" s="8">
        <v>1</v>
      </c>
      <c r="E38" s="39">
        <v>8554.82</v>
      </c>
      <c r="F38" s="39">
        <v>1943.24</v>
      </c>
      <c r="G38" s="39">
        <f t="shared" si="8"/>
        <v>22.715147717894709</v>
      </c>
    </row>
    <row r="39" spans="2:7">
      <c r="B39" s="8">
        <v>4</v>
      </c>
      <c r="C39" s="9" t="s">
        <v>24</v>
      </c>
      <c r="D39" s="8">
        <v>1</v>
      </c>
      <c r="E39" s="39">
        <v>2198.42</v>
      </c>
      <c r="F39" s="39">
        <v>974.15</v>
      </c>
      <c r="G39" s="39">
        <f t="shared" si="8"/>
        <v>44.311369074153255</v>
      </c>
    </row>
    <row r="40" spans="2:7">
      <c r="B40" s="8">
        <v>5</v>
      </c>
      <c r="C40" s="9" t="s">
        <v>12</v>
      </c>
      <c r="D40" s="8">
        <v>4</v>
      </c>
      <c r="E40" s="39">
        <v>3734.97</v>
      </c>
      <c r="F40" s="39">
        <v>1831.75</v>
      </c>
      <c r="G40" s="39">
        <f t="shared" si="8"/>
        <v>49.043231940283327</v>
      </c>
    </row>
    <row r="41" spans="2:7">
      <c r="B41" s="8">
        <v>6</v>
      </c>
      <c r="C41" s="9" t="s">
        <v>16</v>
      </c>
      <c r="D41" s="8">
        <v>5</v>
      </c>
      <c r="E41" s="39">
        <v>10282.66</v>
      </c>
      <c r="F41" s="39">
        <v>1566.75</v>
      </c>
      <c r="G41" s="39">
        <f t="shared" si="8"/>
        <v>15.23681615457479</v>
      </c>
    </row>
    <row r="42" spans="2:7">
      <c r="B42" s="12"/>
      <c r="C42" s="944" t="s">
        <v>13</v>
      </c>
      <c r="D42" s="945">
        <f>SUM(D36:D41)</f>
        <v>17</v>
      </c>
      <c r="E42" s="945">
        <f t="shared" ref="E42:F42" si="9">SUM(E36:E41)</f>
        <v>79932.23000000001</v>
      </c>
      <c r="F42" s="945">
        <f t="shared" si="9"/>
        <v>26148.710000000003</v>
      </c>
      <c r="G42" s="39">
        <f t="shared" si="8"/>
        <v>32.71360000840712</v>
      </c>
    </row>
    <row r="43" spans="2:7">
      <c r="B43" s="55"/>
      <c r="C43" s="52"/>
      <c r="D43" s="33"/>
      <c r="E43" s="53"/>
      <c r="F43" s="53"/>
      <c r="G43" s="53"/>
    </row>
    <row r="44" spans="2:7">
      <c r="B44" s="55"/>
      <c r="C44" s="52"/>
      <c r="D44" s="33"/>
      <c r="E44" s="53"/>
      <c r="F44" s="53"/>
      <c r="G44" s="53"/>
    </row>
    <row r="45" spans="2:7">
      <c r="B45" s="55"/>
      <c r="C45" s="52"/>
      <c r="D45" s="33"/>
      <c r="E45" s="53"/>
      <c r="F45" s="53"/>
      <c r="G45" s="53"/>
    </row>
    <row r="46" spans="2:7">
      <c r="B46" s="55"/>
      <c r="C46" s="52"/>
      <c r="D46" s="33"/>
      <c r="E46" s="53"/>
      <c r="F46" s="53"/>
      <c r="G46" s="53"/>
    </row>
    <row r="47" spans="2:7" s="741" customFormat="1">
      <c r="B47" s="55"/>
      <c r="C47" s="52"/>
      <c r="D47" s="33"/>
      <c r="E47" s="53"/>
      <c r="F47" s="53"/>
      <c r="G47" s="53"/>
    </row>
    <row r="48" spans="2:7">
      <c r="B48" s="55"/>
      <c r="C48" s="52"/>
      <c r="D48" s="33"/>
      <c r="E48" s="53"/>
      <c r="F48" s="53"/>
      <c r="G48" s="53"/>
    </row>
    <row r="49" spans="2:7">
      <c r="B49" s="55"/>
      <c r="C49" s="52"/>
      <c r="D49" s="33"/>
      <c r="E49" s="53"/>
      <c r="F49" s="53"/>
      <c r="G49" s="53"/>
    </row>
    <row r="50" spans="2:7">
      <c r="B50" s="55"/>
      <c r="C50" s="52"/>
      <c r="D50" s="33"/>
      <c r="E50" s="53"/>
      <c r="F50" s="53"/>
      <c r="G50" s="53"/>
    </row>
    <row r="51" spans="2:7">
      <c r="B51" s="55"/>
      <c r="C51" s="52"/>
      <c r="D51" s="33"/>
      <c r="E51" s="53"/>
      <c r="F51" s="53"/>
      <c r="G51" s="53"/>
    </row>
    <row r="52" spans="2:7">
      <c r="B52" s="1650">
        <v>54</v>
      </c>
      <c r="C52" s="1650"/>
      <c r="D52" s="1650"/>
      <c r="E52" s="1650"/>
      <c r="F52" s="1650"/>
      <c r="G52" s="1650"/>
    </row>
    <row r="53" spans="2:7">
      <c r="B53" s="3" t="s">
        <v>1</v>
      </c>
      <c r="C53" s="3"/>
      <c r="D53" s="84" t="s">
        <v>25</v>
      </c>
      <c r="E53" s="20"/>
      <c r="F53" s="6"/>
      <c r="G53" s="5"/>
    </row>
    <row r="54" spans="2:7" ht="25.5">
      <c r="B54" s="58" t="s">
        <v>4</v>
      </c>
      <c r="C54" s="58" t="s">
        <v>5</v>
      </c>
      <c r="D54" s="58" t="s">
        <v>6</v>
      </c>
      <c r="E54" s="58" t="s">
        <v>7</v>
      </c>
      <c r="F54" s="58" t="s">
        <v>8</v>
      </c>
      <c r="G54" s="58" t="s">
        <v>9</v>
      </c>
    </row>
    <row r="55" spans="2:7">
      <c r="B55" s="8">
        <v>1</v>
      </c>
      <c r="C55" s="9" t="s">
        <v>10</v>
      </c>
      <c r="D55" s="8">
        <v>3</v>
      </c>
      <c r="E55" s="39">
        <v>43187.96</v>
      </c>
      <c r="F55" s="39">
        <v>13830.92</v>
      </c>
      <c r="G55" s="39">
        <f>F55/E55%</f>
        <v>32.024943989019164</v>
      </c>
    </row>
    <row r="56" spans="2:7">
      <c r="B56" s="8">
        <v>2</v>
      </c>
      <c r="C56" s="9" t="s">
        <v>19</v>
      </c>
      <c r="D56" s="8">
        <v>1</v>
      </c>
      <c r="E56" s="39">
        <v>1045.07</v>
      </c>
      <c r="F56" s="39">
        <v>592.83000000000004</v>
      </c>
      <c r="G56" s="39">
        <f t="shared" ref="G56:G65" si="10">F56/E56%</f>
        <v>56.726343689896375</v>
      </c>
    </row>
    <row r="57" spans="2:7">
      <c r="B57" s="8">
        <v>3</v>
      </c>
      <c r="C57" s="9" t="s">
        <v>23</v>
      </c>
      <c r="D57" s="8">
        <v>1</v>
      </c>
      <c r="E57" s="39">
        <v>24893</v>
      </c>
      <c r="F57" s="39">
        <v>2271</v>
      </c>
      <c r="G57" s="39">
        <f t="shared" si="10"/>
        <v>9.1230466396175629</v>
      </c>
    </row>
    <row r="58" spans="2:7">
      <c r="B58" s="96">
        <v>4</v>
      </c>
      <c r="C58" s="76" t="s">
        <v>17</v>
      </c>
      <c r="D58" s="96">
        <v>1</v>
      </c>
      <c r="E58" s="97">
        <v>1318</v>
      </c>
      <c r="F58" s="97">
        <v>931</v>
      </c>
      <c r="G58" s="97">
        <f t="shared" si="10"/>
        <v>70.637329286798177</v>
      </c>
    </row>
    <row r="59" spans="2:7">
      <c r="B59" s="31">
        <v>5</v>
      </c>
      <c r="C59" s="30" t="s">
        <v>26</v>
      </c>
      <c r="D59" s="31">
        <v>1</v>
      </c>
      <c r="E59" s="51">
        <v>2300.8854616000008</v>
      </c>
      <c r="F59" s="51">
        <v>950.8549379000001</v>
      </c>
      <c r="G59" s="39">
        <f t="shared" si="10"/>
        <v>41.325609369481171</v>
      </c>
    </row>
    <row r="60" spans="2:7">
      <c r="B60" s="8">
        <v>6</v>
      </c>
      <c r="C60" s="9" t="s">
        <v>27</v>
      </c>
      <c r="D60" s="8">
        <v>1</v>
      </c>
      <c r="E60" s="39">
        <v>1554.34</v>
      </c>
      <c r="F60" s="39">
        <v>373.44</v>
      </c>
      <c r="G60" s="39">
        <f t="shared" si="10"/>
        <v>24.025631457724824</v>
      </c>
    </row>
    <row r="61" spans="2:7">
      <c r="B61" s="8">
        <v>7</v>
      </c>
      <c r="C61" s="9" t="s">
        <v>11</v>
      </c>
      <c r="D61" s="8">
        <v>1</v>
      </c>
      <c r="E61" s="39">
        <v>694.83</v>
      </c>
      <c r="F61" s="39">
        <v>17.32</v>
      </c>
      <c r="G61" s="39">
        <f t="shared" si="10"/>
        <v>2.4926960551501804</v>
      </c>
    </row>
    <row r="62" spans="2:7">
      <c r="B62" s="8">
        <v>8</v>
      </c>
      <c r="C62" s="9" t="s">
        <v>12</v>
      </c>
      <c r="D62" s="8">
        <v>1</v>
      </c>
      <c r="E62" s="39">
        <v>906.96</v>
      </c>
      <c r="F62" s="39">
        <v>369</v>
      </c>
      <c r="G62" s="39">
        <f t="shared" si="10"/>
        <v>40.685366499073822</v>
      </c>
    </row>
    <row r="63" spans="2:7">
      <c r="B63" s="8">
        <v>9</v>
      </c>
      <c r="C63" s="9" t="s">
        <v>16</v>
      </c>
      <c r="D63" s="8">
        <v>6</v>
      </c>
      <c r="E63" s="39">
        <v>14896.71</v>
      </c>
      <c r="F63" s="39">
        <v>3776.32</v>
      </c>
      <c r="G63" s="39">
        <f t="shared" si="10"/>
        <v>25.350026952259931</v>
      </c>
    </row>
    <row r="64" spans="2:7">
      <c r="B64" s="8">
        <v>10</v>
      </c>
      <c r="C64" s="9" t="s">
        <v>28</v>
      </c>
      <c r="D64" s="8">
        <v>1</v>
      </c>
      <c r="E64" s="39">
        <v>1000.92</v>
      </c>
      <c r="F64" s="39">
        <v>387</v>
      </c>
      <c r="G64" s="39">
        <f t="shared" si="10"/>
        <v>38.664428725572471</v>
      </c>
    </row>
    <row r="65" spans="2:7">
      <c r="B65" s="69"/>
      <c r="C65" s="944" t="s">
        <v>13</v>
      </c>
      <c r="D65" s="945">
        <f>SUM(D55:D64)</f>
        <v>17</v>
      </c>
      <c r="E65" s="1050">
        <f t="shared" ref="E65:F65" si="11">SUM(E55:E64)</f>
        <v>91798.675461599996</v>
      </c>
      <c r="F65" s="1050">
        <f t="shared" si="11"/>
        <v>23499.684937899998</v>
      </c>
      <c r="G65" s="39">
        <f t="shared" si="10"/>
        <v>25.599154693392144</v>
      </c>
    </row>
    <row r="66" spans="2:7">
      <c r="B66" s="3" t="s">
        <v>1</v>
      </c>
      <c r="C66" s="3"/>
      <c r="D66" s="84" t="s">
        <v>29</v>
      </c>
      <c r="E66" s="19"/>
      <c r="F66" s="19"/>
      <c r="G66" s="19"/>
    </row>
    <row r="67" spans="2:7" ht="25.5">
      <c r="B67" s="58" t="s">
        <v>4</v>
      </c>
      <c r="C67" s="58" t="s">
        <v>5</v>
      </c>
      <c r="D67" s="58" t="s">
        <v>6</v>
      </c>
      <c r="E67" s="58" t="s">
        <v>7</v>
      </c>
      <c r="F67" s="58" t="s">
        <v>8</v>
      </c>
      <c r="G67" s="58" t="s">
        <v>9</v>
      </c>
    </row>
    <row r="68" spans="2:7">
      <c r="B68" s="15">
        <v>1</v>
      </c>
      <c r="C68" s="16" t="s">
        <v>10</v>
      </c>
      <c r="D68" s="17">
        <v>1</v>
      </c>
      <c r="E68" s="18">
        <v>6805.4</v>
      </c>
      <c r="F68" s="18">
        <v>860.01</v>
      </c>
      <c r="G68" s="18">
        <f>F68/E68%</f>
        <v>12.637170482264084</v>
      </c>
    </row>
    <row r="69" spans="2:7">
      <c r="B69" s="15">
        <v>2</v>
      </c>
      <c r="C69" s="16" t="s">
        <v>16</v>
      </c>
      <c r="D69" s="17">
        <v>3</v>
      </c>
      <c r="E69" s="18">
        <v>1769.4</v>
      </c>
      <c r="F69" s="18">
        <v>139.13</v>
      </c>
      <c r="G69" s="18">
        <f t="shared" ref="G69:G70" si="12">F69/E69%</f>
        <v>7.8631174409404307</v>
      </c>
    </row>
    <row r="70" spans="2:7">
      <c r="B70" s="70"/>
      <c r="C70" s="93" t="s">
        <v>13</v>
      </c>
      <c r="D70" s="190">
        <f>SUM(D68:D69)</f>
        <v>4</v>
      </c>
      <c r="E70" s="190">
        <f t="shared" ref="E70:F70" si="13">SUM(E68:E69)</f>
        <v>8574.7999999999993</v>
      </c>
      <c r="F70" s="190">
        <f t="shared" si="13"/>
        <v>999.14</v>
      </c>
      <c r="G70" s="184">
        <f t="shared" si="12"/>
        <v>11.652050193590522</v>
      </c>
    </row>
    <row r="71" spans="2:7">
      <c r="B71" s="3" t="s">
        <v>1</v>
      </c>
      <c r="C71" s="5"/>
      <c r="D71" s="85" t="s">
        <v>30</v>
      </c>
      <c r="E71" s="20"/>
      <c r="F71" s="3"/>
      <c r="G71" s="5"/>
    </row>
    <row r="72" spans="2:7" ht="25.5">
      <c r="B72" s="58" t="s">
        <v>4</v>
      </c>
      <c r="C72" s="58" t="s">
        <v>5</v>
      </c>
      <c r="D72" s="58" t="s">
        <v>6</v>
      </c>
      <c r="E72" s="58" t="s">
        <v>7</v>
      </c>
      <c r="F72" s="58" t="s">
        <v>8</v>
      </c>
      <c r="G72" s="58" t="s">
        <v>9</v>
      </c>
    </row>
    <row r="73" spans="2:7">
      <c r="B73" s="8">
        <v>1</v>
      </c>
      <c r="C73" s="9" t="s">
        <v>10</v>
      </c>
      <c r="D73" s="8">
        <v>1</v>
      </c>
      <c r="E73" s="39">
        <v>6429.76</v>
      </c>
      <c r="F73" s="39">
        <v>1157.8499999999999</v>
      </c>
      <c r="G73" s="39">
        <f>F73/E73%</f>
        <v>18.007670581794653</v>
      </c>
    </row>
    <row r="74" spans="2:7">
      <c r="B74" s="8">
        <v>3</v>
      </c>
      <c r="C74" s="9" t="s">
        <v>12</v>
      </c>
      <c r="D74" s="8">
        <v>1</v>
      </c>
      <c r="E74" s="45">
        <v>445.44</v>
      </c>
      <c r="F74" s="39">
        <v>256.62</v>
      </c>
      <c r="G74" s="39">
        <f t="shared" ref="G74:G75" si="14">F74/E74%</f>
        <v>57.610452586206904</v>
      </c>
    </row>
    <row r="75" spans="2:7">
      <c r="B75" s="67"/>
      <c r="C75" s="191" t="s">
        <v>13</v>
      </c>
      <c r="D75" s="192">
        <f>SUM(D73:D74)</f>
        <v>2</v>
      </c>
      <c r="E75" s="1049">
        <f>SUM(E73:E74)</f>
        <v>6875.2</v>
      </c>
      <c r="F75" s="1049">
        <f>SUM(F73:F74)</f>
        <v>1414.4699999999998</v>
      </c>
      <c r="G75" s="40">
        <f t="shared" si="14"/>
        <v>20.57351058878287</v>
      </c>
    </row>
    <row r="76" spans="2:7">
      <c r="B76" s="3" t="s">
        <v>1</v>
      </c>
      <c r="C76" s="5"/>
      <c r="D76" s="85" t="s">
        <v>31</v>
      </c>
      <c r="E76" s="20"/>
      <c r="F76" s="3"/>
      <c r="G76" s="3"/>
    </row>
    <row r="77" spans="2:7" ht="25.5">
      <c r="B77" s="58" t="s">
        <v>4</v>
      </c>
      <c r="C77" s="58" t="s">
        <v>5</v>
      </c>
      <c r="D77" s="58" t="s">
        <v>6</v>
      </c>
      <c r="E77" s="58" t="s">
        <v>7</v>
      </c>
      <c r="F77" s="58" t="s">
        <v>8</v>
      </c>
      <c r="G77" s="58" t="s">
        <v>9</v>
      </c>
    </row>
    <row r="78" spans="2:7">
      <c r="B78" s="8">
        <v>1</v>
      </c>
      <c r="C78" s="9" t="s">
        <v>10</v>
      </c>
      <c r="D78" s="8">
        <v>1</v>
      </c>
      <c r="E78" s="39">
        <v>21270.15</v>
      </c>
      <c r="F78" s="39">
        <v>3980.55</v>
      </c>
      <c r="G78" s="39">
        <f>F78/E78%</f>
        <v>18.714254483395745</v>
      </c>
    </row>
    <row r="79" spans="2:7">
      <c r="B79" s="73">
        <v>2</v>
      </c>
      <c r="C79" s="74" t="s">
        <v>26</v>
      </c>
      <c r="D79" s="73">
        <v>1</v>
      </c>
      <c r="E79" s="50">
        <v>2401.8446985</v>
      </c>
      <c r="F79" s="50">
        <v>1305.1659294000003</v>
      </c>
      <c r="G79" s="39">
        <f t="shared" ref="G79:G83" si="15">F79/E79%</f>
        <v>54.340146563809995</v>
      </c>
    </row>
    <row r="80" spans="2:7">
      <c r="B80" s="8">
        <v>3</v>
      </c>
      <c r="C80" s="9" t="s">
        <v>32</v>
      </c>
      <c r="D80" s="8">
        <v>1</v>
      </c>
      <c r="E80" s="39">
        <v>1608.27</v>
      </c>
      <c r="F80" s="39">
        <v>286.2</v>
      </c>
      <c r="G80" s="39">
        <f t="shared" si="15"/>
        <v>17.79551940905445</v>
      </c>
    </row>
    <row r="81" spans="2:7">
      <c r="B81" s="8">
        <v>4</v>
      </c>
      <c r="C81" s="9" t="s">
        <v>12</v>
      </c>
      <c r="D81" s="8">
        <v>2</v>
      </c>
      <c r="E81" s="39">
        <v>1249.92</v>
      </c>
      <c r="F81" s="39">
        <v>630.74</v>
      </c>
      <c r="G81" s="39">
        <f t="shared" si="15"/>
        <v>50.462429595494115</v>
      </c>
    </row>
    <row r="82" spans="2:7">
      <c r="B82" s="8">
        <v>5</v>
      </c>
      <c r="C82" s="9" t="s">
        <v>16</v>
      </c>
      <c r="D82" s="8">
        <v>1</v>
      </c>
      <c r="E82" s="39">
        <v>732.29</v>
      </c>
      <c r="F82" s="39">
        <v>61.6</v>
      </c>
      <c r="G82" s="39">
        <f t="shared" si="15"/>
        <v>8.4119679362001403</v>
      </c>
    </row>
    <row r="83" spans="2:7">
      <c r="B83" s="67"/>
      <c r="C83" s="191" t="s">
        <v>13</v>
      </c>
      <c r="D83" s="192">
        <f>SUM(D78:D82)</f>
        <v>6</v>
      </c>
      <c r="E83" s="1049">
        <f t="shared" ref="E83:F83" si="16">SUM(E78:E82)</f>
        <v>27262.474698500002</v>
      </c>
      <c r="F83" s="1049">
        <f t="shared" si="16"/>
        <v>6264.2559294000002</v>
      </c>
      <c r="G83" s="40">
        <f t="shared" si="15"/>
        <v>22.97757631571379</v>
      </c>
    </row>
    <row r="84" spans="2:7">
      <c r="B84" s="3" t="s">
        <v>1</v>
      </c>
      <c r="C84" s="3"/>
      <c r="D84" s="85" t="s">
        <v>33</v>
      </c>
      <c r="E84" s="20"/>
      <c r="F84" s="5"/>
      <c r="G84" s="5"/>
    </row>
    <row r="85" spans="2:7" ht="25.5">
      <c r="B85" s="58" t="s">
        <v>4</v>
      </c>
      <c r="C85" s="58" t="s">
        <v>5</v>
      </c>
      <c r="D85" s="58" t="s">
        <v>6</v>
      </c>
      <c r="E85" s="58" t="s">
        <v>7</v>
      </c>
      <c r="F85" s="58" t="s">
        <v>8</v>
      </c>
      <c r="G85" s="58" t="s">
        <v>9</v>
      </c>
    </row>
    <row r="86" spans="2:7">
      <c r="B86" s="8">
        <v>1</v>
      </c>
      <c r="C86" s="9" t="s">
        <v>10</v>
      </c>
      <c r="D86" s="8">
        <v>2</v>
      </c>
      <c r="E86" s="39">
        <v>29691.49</v>
      </c>
      <c r="F86" s="39">
        <v>7436.57</v>
      </c>
      <c r="G86" s="39">
        <f>F86/E86%</f>
        <v>25.046132747127206</v>
      </c>
    </row>
    <row r="87" spans="2:7">
      <c r="B87" s="73">
        <v>2</v>
      </c>
      <c r="C87" s="74" t="s">
        <v>17</v>
      </c>
      <c r="D87" s="73">
        <v>1</v>
      </c>
      <c r="E87" s="40">
        <v>753</v>
      </c>
      <c r="F87" s="40">
        <v>65.48</v>
      </c>
      <c r="G87" s="40">
        <f t="shared" ref="G87:G90" si="17">F87/E87%</f>
        <v>8.6958831341301455</v>
      </c>
    </row>
    <row r="88" spans="2:7">
      <c r="B88" s="8">
        <v>4</v>
      </c>
      <c r="C88" s="9" t="s">
        <v>12</v>
      </c>
      <c r="D88" s="8">
        <v>1</v>
      </c>
      <c r="E88" s="39">
        <v>321.55</v>
      </c>
      <c r="F88" s="39">
        <v>551.37</v>
      </c>
      <c r="G88" s="39">
        <f t="shared" si="17"/>
        <v>171.47255481262633</v>
      </c>
    </row>
    <row r="89" spans="2:7">
      <c r="B89" s="8">
        <v>5</v>
      </c>
      <c r="C89" s="9" t="s">
        <v>16</v>
      </c>
      <c r="D89" s="8">
        <v>1</v>
      </c>
      <c r="E89" s="39">
        <v>3385.9</v>
      </c>
      <c r="F89" s="39">
        <v>3571.84</v>
      </c>
      <c r="G89" s="39">
        <f t="shared" si="17"/>
        <v>105.49159750730972</v>
      </c>
    </row>
    <row r="90" spans="2:7">
      <c r="B90" s="67"/>
      <c r="C90" s="93" t="s">
        <v>13</v>
      </c>
      <c r="D90" s="94">
        <f>SUM(D86:D89)</f>
        <v>5</v>
      </c>
      <c r="E90" s="94">
        <f t="shared" ref="E90:F90" si="18">SUM(E86:E89)</f>
        <v>34151.94</v>
      </c>
      <c r="F90" s="94">
        <f t="shared" si="18"/>
        <v>11625.259999999998</v>
      </c>
      <c r="G90" s="40">
        <f t="shared" si="17"/>
        <v>34.039823213556822</v>
      </c>
    </row>
    <row r="91" spans="2:7">
      <c r="B91" s="3" t="s">
        <v>1</v>
      </c>
      <c r="C91" s="5"/>
      <c r="D91" s="85" t="s">
        <v>34</v>
      </c>
      <c r="E91" s="7"/>
      <c r="F91" s="7"/>
      <c r="G91" s="14"/>
    </row>
    <row r="92" spans="2:7" ht="25.5">
      <c r="B92" s="58" t="s">
        <v>4</v>
      </c>
      <c r="C92" s="58" t="s">
        <v>5</v>
      </c>
      <c r="D92" s="58" t="s">
        <v>6</v>
      </c>
      <c r="E92" s="58" t="s">
        <v>7</v>
      </c>
      <c r="F92" s="58" t="s">
        <v>8</v>
      </c>
      <c r="G92" s="58" t="s">
        <v>9</v>
      </c>
    </row>
    <row r="93" spans="2:7" ht="15.75">
      <c r="B93" s="23">
        <v>1</v>
      </c>
      <c r="C93" s="24" t="s">
        <v>10</v>
      </c>
      <c r="D93" s="25">
        <v>2</v>
      </c>
      <c r="E93" s="42">
        <v>23939.96</v>
      </c>
      <c r="F93" s="43">
        <v>6139.28</v>
      </c>
      <c r="G93" s="43">
        <f>F93/E93%</f>
        <v>25.644487292376429</v>
      </c>
    </row>
    <row r="94" spans="2:7" ht="15.75">
      <c r="B94" s="78">
        <v>2</v>
      </c>
      <c r="C94" s="79" t="s">
        <v>35</v>
      </c>
      <c r="D94" s="80">
        <v>2</v>
      </c>
      <c r="E94" s="41">
        <v>1774.51</v>
      </c>
      <c r="F94" s="41">
        <v>274.55</v>
      </c>
      <c r="G94" s="43">
        <f t="shared" ref="G94:G99" si="19">F94/E94%</f>
        <v>15.471876743439033</v>
      </c>
    </row>
    <row r="95" spans="2:7" ht="15.75">
      <c r="B95" s="23">
        <v>3</v>
      </c>
      <c r="C95" s="24" t="s">
        <v>32</v>
      </c>
      <c r="D95" s="25">
        <v>1</v>
      </c>
      <c r="E95" s="43">
        <v>1809.13</v>
      </c>
      <c r="F95" s="43">
        <v>95.06</v>
      </c>
      <c r="G95" s="43">
        <f t="shared" si="19"/>
        <v>5.2544593257532624</v>
      </c>
    </row>
    <row r="96" spans="2:7" ht="15.75">
      <c r="B96" s="23">
        <v>4</v>
      </c>
      <c r="C96" s="24" t="s">
        <v>11</v>
      </c>
      <c r="D96" s="25">
        <v>1</v>
      </c>
      <c r="E96" s="43">
        <v>1765.9</v>
      </c>
      <c r="F96" s="43">
        <v>100.3</v>
      </c>
      <c r="G96" s="43">
        <f t="shared" si="19"/>
        <v>5.6798233195537673</v>
      </c>
    </row>
    <row r="97" spans="2:7" ht="15.75">
      <c r="B97" s="23">
        <v>5</v>
      </c>
      <c r="C97" s="24" t="s">
        <v>12</v>
      </c>
      <c r="D97" s="25">
        <v>2</v>
      </c>
      <c r="E97" s="43">
        <v>395.33</v>
      </c>
      <c r="F97" s="42">
        <v>1136.77</v>
      </c>
      <c r="G97" s="43">
        <f t="shared" si="19"/>
        <v>287.54964207118104</v>
      </c>
    </row>
    <row r="98" spans="2:7" ht="15.75">
      <c r="B98" s="23">
        <v>6</v>
      </c>
      <c r="C98" s="24" t="s">
        <v>16</v>
      </c>
      <c r="D98" s="25">
        <v>1</v>
      </c>
      <c r="E98" s="43">
        <v>175.86</v>
      </c>
      <c r="F98" s="42">
        <v>43.3</v>
      </c>
      <c r="G98" s="43">
        <f t="shared" si="19"/>
        <v>24.62185829637211</v>
      </c>
    </row>
    <row r="99" spans="2:7">
      <c r="B99" s="65"/>
      <c r="C99" s="193" t="s">
        <v>13</v>
      </c>
      <c r="D99" s="189">
        <f>SUM(D93:D98)</f>
        <v>9</v>
      </c>
      <c r="E99" s="189">
        <f t="shared" ref="E99:F99" si="20">SUM(E93:E98)</f>
        <v>29860.690000000002</v>
      </c>
      <c r="F99" s="189">
        <f t="shared" si="20"/>
        <v>7789.2600000000011</v>
      </c>
      <c r="G99" s="194">
        <f t="shared" si="19"/>
        <v>26.085331584769143</v>
      </c>
    </row>
    <row r="100" spans="2:7" s="741" customFormat="1">
      <c r="B100" s="948"/>
      <c r="C100" s="949"/>
      <c r="D100" s="950"/>
      <c r="E100" s="950"/>
      <c r="F100" s="950"/>
      <c r="G100" s="56"/>
    </row>
    <row r="101" spans="2:7" s="741" customFormat="1">
      <c r="B101" s="948"/>
      <c r="C101" s="949"/>
      <c r="D101" s="950"/>
      <c r="E101" s="950"/>
      <c r="F101" s="950"/>
      <c r="G101" s="56"/>
    </row>
    <row r="102" spans="2:7" s="741" customFormat="1">
      <c r="B102" s="948"/>
      <c r="C102" s="949"/>
      <c r="D102" s="950"/>
      <c r="E102" s="56"/>
      <c r="F102" s="56"/>
      <c r="G102" s="56"/>
    </row>
    <row r="103" spans="2:7">
      <c r="B103" s="1650">
        <v>55</v>
      </c>
      <c r="C103" s="1650"/>
      <c r="D103" s="1650"/>
      <c r="E103" s="1650"/>
      <c r="F103" s="1650"/>
      <c r="G103" s="1650"/>
    </row>
    <row r="104" spans="2:7">
      <c r="B104" s="3" t="s">
        <v>36</v>
      </c>
      <c r="C104" s="3"/>
      <c r="D104" s="84" t="s">
        <v>37</v>
      </c>
      <c r="E104" s="20"/>
      <c r="F104" s="27"/>
      <c r="G104" s="5"/>
    </row>
    <row r="105" spans="2:7" ht="25.5">
      <c r="B105" s="58" t="s">
        <v>4</v>
      </c>
      <c r="C105" s="58" t="s">
        <v>5</v>
      </c>
      <c r="D105" s="58" t="s">
        <v>6</v>
      </c>
      <c r="E105" s="58" t="s">
        <v>7</v>
      </c>
      <c r="F105" s="58" t="s">
        <v>8</v>
      </c>
      <c r="G105" s="58" t="s">
        <v>9</v>
      </c>
    </row>
    <row r="106" spans="2:7">
      <c r="B106" s="8">
        <v>1</v>
      </c>
      <c r="C106" s="9" t="s">
        <v>10</v>
      </c>
      <c r="D106" s="8">
        <v>2</v>
      </c>
      <c r="E106" s="39">
        <v>7237.99</v>
      </c>
      <c r="F106" s="39">
        <v>1385.13</v>
      </c>
      <c r="G106" s="39">
        <f>F106/E106%</f>
        <v>19.136942714759211</v>
      </c>
    </row>
    <row r="107" spans="2:7">
      <c r="B107" s="74"/>
      <c r="C107" s="191" t="s">
        <v>13</v>
      </c>
      <c r="D107" s="192">
        <v>2</v>
      </c>
      <c r="E107" s="95">
        <v>7237.99</v>
      </c>
      <c r="F107" s="95">
        <v>1385.13</v>
      </c>
      <c r="G107" s="40">
        <f>F107/E107%</f>
        <v>19.136942714759211</v>
      </c>
    </row>
    <row r="108" spans="2:7">
      <c r="B108" s="3" t="s">
        <v>1</v>
      </c>
      <c r="C108" s="3"/>
      <c r="D108" s="85" t="s">
        <v>38</v>
      </c>
      <c r="E108" s="20"/>
      <c r="F108" s="3"/>
      <c r="G108" s="5"/>
    </row>
    <row r="109" spans="2:7" ht="25.5">
      <c r="B109" s="58" t="s">
        <v>4</v>
      </c>
      <c r="C109" s="58" t="s">
        <v>5</v>
      </c>
      <c r="D109" s="58" t="s">
        <v>6</v>
      </c>
      <c r="E109" s="58" t="s">
        <v>7</v>
      </c>
      <c r="F109" s="58" t="s">
        <v>8</v>
      </c>
      <c r="G109" s="58" t="s">
        <v>9</v>
      </c>
    </row>
    <row r="110" spans="2:7">
      <c r="B110" s="8">
        <v>1</v>
      </c>
      <c r="C110" s="9" t="s">
        <v>10</v>
      </c>
      <c r="D110" s="8">
        <v>6</v>
      </c>
      <c r="E110" s="39">
        <v>46203.63</v>
      </c>
      <c r="F110" s="39">
        <v>9043.81</v>
      </c>
      <c r="G110" s="39">
        <f>F110/E110%</f>
        <v>19.573808378259457</v>
      </c>
    </row>
    <row r="111" spans="2:7">
      <c r="B111" s="8">
        <v>3</v>
      </c>
      <c r="C111" s="9" t="s">
        <v>12</v>
      </c>
      <c r="D111" s="8">
        <v>3</v>
      </c>
      <c r="E111" s="39">
        <v>1514.3</v>
      </c>
      <c r="F111" s="39">
        <v>529.57000000000005</v>
      </c>
      <c r="G111" s="39">
        <f t="shared" ref="G111:G112" si="21">F111/E111%</f>
        <v>34.971273855907029</v>
      </c>
    </row>
    <row r="112" spans="2:7">
      <c r="B112" s="68"/>
      <c r="C112" s="191" t="s">
        <v>13</v>
      </c>
      <c r="D112" s="192">
        <f>SUM(D110:D111)</f>
        <v>9</v>
      </c>
      <c r="E112" s="192">
        <f t="shared" ref="E112:F112" si="22">SUM(E110:E111)</f>
        <v>47717.93</v>
      </c>
      <c r="F112" s="192">
        <f t="shared" si="22"/>
        <v>9573.3799999999992</v>
      </c>
      <c r="G112" s="95">
        <f t="shared" si="21"/>
        <v>20.06243774614699</v>
      </c>
    </row>
    <row r="113" spans="2:7">
      <c r="B113" s="3" t="s">
        <v>1</v>
      </c>
      <c r="C113" s="3"/>
      <c r="D113" s="85" t="s">
        <v>39</v>
      </c>
      <c r="E113" s="20"/>
      <c r="F113" s="5"/>
      <c r="G113" s="5"/>
    </row>
    <row r="114" spans="2:7" ht="25.5">
      <c r="B114" s="58" t="s">
        <v>4</v>
      </c>
      <c r="C114" s="58" t="s">
        <v>5</v>
      </c>
      <c r="D114" s="58" t="s">
        <v>6</v>
      </c>
      <c r="E114" s="58" t="s">
        <v>7</v>
      </c>
      <c r="F114" s="58" t="s">
        <v>8</v>
      </c>
      <c r="G114" s="58" t="s">
        <v>9</v>
      </c>
    </row>
    <row r="115" spans="2:7">
      <c r="B115" s="8">
        <v>1</v>
      </c>
      <c r="C115" s="9" t="s">
        <v>10</v>
      </c>
      <c r="D115" s="8">
        <v>3</v>
      </c>
      <c r="E115" s="39">
        <v>10362.450000000001</v>
      </c>
      <c r="F115" s="39">
        <v>3088.42</v>
      </c>
      <c r="G115" s="39">
        <f>F115/E115%</f>
        <v>29.803955628253934</v>
      </c>
    </row>
    <row r="116" spans="2:7">
      <c r="B116" s="68"/>
      <c r="C116" s="191" t="s">
        <v>13</v>
      </c>
      <c r="D116" s="192">
        <v>3</v>
      </c>
      <c r="E116" s="95">
        <v>10362.450000000001</v>
      </c>
      <c r="F116" s="95">
        <v>3088.42</v>
      </c>
      <c r="G116" s="95">
        <f>F116/E116%</f>
        <v>29.803955628253934</v>
      </c>
    </row>
    <row r="117" spans="2:7">
      <c r="B117" s="3" t="s">
        <v>1</v>
      </c>
      <c r="C117" s="3"/>
      <c r="D117" s="85" t="s">
        <v>40</v>
      </c>
      <c r="E117" s="20"/>
      <c r="F117" s="5"/>
      <c r="G117" s="5"/>
    </row>
    <row r="118" spans="2:7" ht="25.5">
      <c r="B118" s="58" t="s">
        <v>4</v>
      </c>
      <c r="C118" s="58" t="s">
        <v>5</v>
      </c>
      <c r="D118" s="58" t="s">
        <v>6</v>
      </c>
      <c r="E118" s="58" t="s">
        <v>7</v>
      </c>
      <c r="F118" s="58" t="s">
        <v>8</v>
      </c>
      <c r="G118" s="58" t="s">
        <v>9</v>
      </c>
    </row>
    <row r="119" spans="2:7">
      <c r="B119" s="8">
        <v>1</v>
      </c>
      <c r="C119" s="9" t="s">
        <v>10</v>
      </c>
      <c r="D119" s="8">
        <v>2</v>
      </c>
      <c r="E119" s="39">
        <v>25921.24</v>
      </c>
      <c r="F119" s="39">
        <v>8206.4500000000007</v>
      </c>
      <c r="G119" s="39">
        <f>F119/E119%</f>
        <v>31.659172169232647</v>
      </c>
    </row>
    <row r="120" spans="2:7">
      <c r="B120" s="8">
        <v>3</v>
      </c>
      <c r="C120" s="9" t="s">
        <v>12</v>
      </c>
      <c r="D120" s="8">
        <v>2</v>
      </c>
      <c r="E120" s="39">
        <v>1641.72</v>
      </c>
      <c r="F120" s="39">
        <v>850.78</v>
      </c>
      <c r="G120" s="39">
        <f t="shared" ref="G120:G121" si="23">F120/E120%</f>
        <v>51.82247886363082</v>
      </c>
    </row>
    <row r="121" spans="2:7">
      <c r="B121" s="68"/>
      <c r="C121" s="12" t="s">
        <v>13</v>
      </c>
      <c r="D121" s="13">
        <f>SUM(D119:D120)</f>
        <v>4</v>
      </c>
      <c r="E121" s="13">
        <f t="shared" ref="E121:F121" si="24">SUM(E119:E120)</f>
        <v>27562.960000000003</v>
      </c>
      <c r="F121" s="13">
        <f t="shared" si="24"/>
        <v>9057.2300000000014</v>
      </c>
      <c r="G121" s="39">
        <f t="shared" si="23"/>
        <v>32.860149998403656</v>
      </c>
    </row>
    <row r="122" spans="2:7">
      <c r="B122" s="3" t="s">
        <v>1</v>
      </c>
      <c r="C122" s="3"/>
      <c r="D122" s="85" t="s">
        <v>41</v>
      </c>
      <c r="E122" s="20"/>
      <c r="F122" s="27"/>
      <c r="G122" s="5"/>
    </row>
    <row r="123" spans="2:7" ht="25.5">
      <c r="B123" s="58" t="s">
        <v>4</v>
      </c>
      <c r="C123" s="58" t="s">
        <v>5</v>
      </c>
      <c r="D123" s="58" t="s">
        <v>6</v>
      </c>
      <c r="E123" s="58" t="s">
        <v>7</v>
      </c>
      <c r="F123" s="58" t="s">
        <v>8</v>
      </c>
      <c r="G123" s="58" t="s">
        <v>9</v>
      </c>
    </row>
    <row r="124" spans="2:7">
      <c r="B124" s="8">
        <v>1</v>
      </c>
      <c r="C124" s="9" t="s">
        <v>10</v>
      </c>
      <c r="D124" s="8">
        <v>3</v>
      </c>
      <c r="E124" s="39">
        <v>83236.55</v>
      </c>
      <c r="F124" s="39">
        <v>5336.48</v>
      </c>
      <c r="G124" s="39">
        <f>F124/E124%</f>
        <v>6.4112219932229282</v>
      </c>
    </row>
    <row r="125" spans="2:7">
      <c r="B125" s="8">
        <v>2</v>
      </c>
      <c r="C125" s="9" t="s">
        <v>12</v>
      </c>
      <c r="D125" s="8">
        <v>2</v>
      </c>
      <c r="E125" s="39">
        <v>776.26</v>
      </c>
      <c r="F125" s="39">
        <v>510.05</v>
      </c>
      <c r="G125" s="39">
        <f t="shared" ref="G125:G130" si="25">F125/E125%</f>
        <v>65.706077860510661</v>
      </c>
    </row>
    <row r="126" spans="2:7">
      <c r="B126" s="71">
        <v>3</v>
      </c>
      <c r="C126" s="30" t="s">
        <v>19</v>
      </c>
      <c r="D126" s="31">
        <v>1</v>
      </c>
      <c r="E126" s="37">
        <v>1061.1400000000001</v>
      </c>
      <c r="F126" s="37">
        <v>818.13</v>
      </c>
      <c r="G126" s="39">
        <f t="shared" si="25"/>
        <v>77.099157509847885</v>
      </c>
    </row>
    <row r="127" spans="2:7">
      <c r="B127" s="31">
        <v>4</v>
      </c>
      <c r="C127" s="30" t="s">
        <v>17</v>
      </c>
      <c r="D127" s="31">
        <v>1</v>
      </c>
      <c r="E127" s="37">
        <v>589.42999999999995</v>
      </c>
      <c r="F127" s="37">
        <v>284.5</v>
      </c>
      <c r="G127" s="39">
        <f t="shared" si="25"/>
        <v>48.266969784367951</v>
      </c>
    </row>
    <row r="128" spans="2:7">
      <c r="B128" s="8">
        <v>5</v>
      </c>
      <c r="C128" s="9" t="s">
        <v>26</v>
      </c>
      <c r="D128" s="8">
        <v>1</v>
      </c>
      <c r="E128" s="10">
        <v>3269.3968146000007</v>
      </c>
      <c r="F128" s="10">
        <v>1260.1768777999998</v>
      </c>
      <c r="G128" s="39">
        <f t="shared" si="25"/>
        <v>38.544629155215539</v>
      </c>
    </row>
    <row r="129" spans="2:7">
      <c r="B129" s="8">
        <v>6</v>
      </c>
      <c r="C129" s="9" t="s">
        <v>11</v>
      </c>
      <c r="D129" s="8">
        <v>1</v>
      </c>
      <c r="E129" s="39">
        <v>4747.8999999999996</v>
      </c>
      <c r="F129" s="39">
        <v>490.42</v>
      </c>
      <c r="G129" s="39">
        <f t="shared" si="25"/>
        <v>10.329198171823332</v>
      </c>
    </row>
    <row r="130" spans="2:7">
      <c r="B130" s="68"/>
      <c r="C130" s="12" t="s">
        <v>13</v>
      </c>
      <c r="D130" s="946">
        <f>SUM(D124:D129)</f>
        <v>9</v>
      </c>
      <c r="E130" s="1048">
        <f t="shared" ref="E130:F130" si="26">SUM(E124:E129)</f>
        <v>93680.676814599981</v>
      </c>
      <c r="F130" s="1048">
        <f t="shared" si="26"/>
        <v>8699.7568778000004</v>
      </c>
      <c r="G130" s="39">
        <f t="shared" si="25"/>
        <v>9.2866076266905839</v>
      </c>
    </row>
    <row r="131" spans="2:7">
      <c r="B131" s="3" t="s">
        <v>1</v>
      </c>
      <c r="C131" s="3"/>
      <c r="D131" s="85" t="s">
        <v>42</v>
      </c>
      <c r="E131" s="20"/>
      <c r="F131" s="5"/>
      <c r="G131" s="5"/>
    </row>
    <row r="132" spans="2:7" ht="25.5">
      <c r="B132" s="58" t="s">
        <v>4</v>
      </c>
      <c r="C132" s="58" t="s">
        <v>5</v>
      </c>
      <c r="D132" s="58" t="s">
        <v>6</v>
      </c>
      <c r="E132" s="58" t="s">
        <v>7</v>
      </c>
      <c r="F132" s="58" t="s">
        <v>8</v>
      </c>
      <c r="G132" s="58" t="s">
        <v>9</v>
      </c>
    </row>
    <row r="133" spans="2:7">
      <c r="B133" s="8">
        <v>1</v>
      </c>
      <c r="C133" s="9" t="s">
        <v>10</v>
      </c>
      <c r="D133" s="8">
        <v>7</v>
      </c>
      <c r="E133" s="39">
        <v>73471.27</v>
      </c>
      <c r="F133" s="39">
        <v>11371.12</v>
      </c>
      <c r="G133" s="39">
        <f>F133/E133%</f>
        <v>15.47696126662844</v>
      </c>
    </row>
    <row r="134" spans="2:7">
      <c r="B134" s="8">
        <v>2</v>
      </c>
      <c r="C134" s="9" t="s">
        <v>22</v>
      </c>
      <c r="D134" s="8">
        <v>1</v>
      </c>
      <c r="E134" s="39">
        <v>0.39</v>
      </c>
      <c r="F134" s="39">
        <v>0</v>
      </c>
      <c r="G134" s="39">
        <f t="shared" ref="G134:G140" si="27">F134/E134%</f>
        <v>0</v>
      </c>
    </row>
    <row r="135" spans="2:7">
      <c r="B135" s="8">
        <v>3</v>
      </c>
      <c r="C135" s="9" t="s">
        <v>17</v>
      </c>
      <c r="D135" s="8">
        <v>1</v>
      </c>
      <c r="E135" s="39">
        <v>1519</v>
      </c>
      <c r="F135" s="39">
        <v>388</v>
      </c>
      <c r="G135" s="39">
        <f t="shared" si="27"/>
        <v>25.543120473996051</v>
      </c>
    </row>
    <row r="136" spans="2:7">
      <c r="B136" s="8">
        <v>4</v>
      </c>
      <c r="C136" s="9" t="s">
        <v>19</v>
      </c>
      <c r="D136" s="8">
        <v>2</v>
      </c>
      <c r="E136" s="39">
        <v>1041.54</v>
      </c>
      <c r="F136" s="39">
        <v>737.98</v>
      </c>
      <c r="G136" s="39">
        <f t="shared" si="27"/>
        <v>70.854695931025219</v>
      </c>
    </row>
    <row r="137" spans="2:7">
      <c r="B137" s="8">
        <v>5</v>
      </c>
      <c r="C137" s="9" t="s">
        <v>12</v>
      </c>
      <c r="D137" s="8">
        <v>1</v>
      </c>
      <c r="E137" s="39">
        <v>282.42</v>
      </c>
      <c r="F137" s="39">
        <v>946.92</v>
      </c>
      <c r="G137" s="39">
        <f t="shared" si="27"/>
        <v>335.28786913108132</v>
      </c>
    </row>
    <row r="138" spans="2:7">
      <c r="B138" s="8">
        <v>6</v>
      </c>
      <c r="C138" s="9" t="s">
        <v>11</v>
      </c>
      <c r="D138" s="8">
        <v>1</v>
      </c>
      <c r="E138" s="39">
        <v>1526.58</v>
      </c>
      <c r="F138" s="39">
        <v>217.25</v>
      </c>
      <c r="G138" s="39">
        <f t="shared" si="27"/>
        <v>14.231157227266177</v>
      </c>
    </row>
    <row r="139" spans="2:7">
      <c r="B139" s="8">
        <v>7</v>
      </c>
      <c r="C139" s="9" t="s">
        <v>32</v>
      </c>
      <c r="D139" s="8">
        <v>1</v>
      </c>
      <c r="E139" s="39">
        <v>64</v>
      </c>
      <c r="F139" s="39">
        <v>103</v>
      </c>
      <c r="G139" s="39">
        <f t="shared" si="27"/>
        <v>160.9375</v>
      </c>
    </row>
    <row r="140" spans="2:7">
      <c r="B140" s="68"/>
      <c r="C140" s="12" t="s">
        <v>13</v>
      </c>
      <c r="D140" s="13">
        <f>SUM(D133:D139)</f>
        <v>14</v>
      </c>
      <c r="E140" s="13">
        <f t="shared" ref="E140:F140" si="28">SUM(E133:E139)</f>
        <v>77905.2</v>
      </c>
      <c r="F140" s="13">
        <f t="shared" si="28"/>
        <v>13764.27</v>
      </c>
      <c r="G140" s="39">
        <f t="shared" si="27"/>
        <v>17.667973383034766</v>
      </c>
    </row>
    <row r="141" spans="2:7">
      <c r="B141" s="3" t="s">
        <v>1</v>
      </c>
      <c r="C141" s="3"/>
      <c r="D141" s="85" t="s">
        <v>43</v>
      </c>
      <c r="E141" s="20"/>
      <c r="F141" s="3"/>
      <c r="G141" s="5"/>
    </row>
    <row r="142" spans="2:7" ht="25.5">
      <c r="B142" s="58" t="s">
        <v>4</v>
      </c>
      <c r="C142" s="58" t="s">
        <v>5</v>
      </c>
      <c r="D142" s="58" t="s">
        <v>6</v>
      </c>
      <c r="E142" s="58" t="s">
        <v>7</v>
      </c>
      <c r="F142" s="58" t="s">
        <v>8</v>
      </c>
      <c r="G142" s="58" t="s">
        <v>9</v>
      </c>
    </row>
    <row r="143" spans="2:7">
      <c r="B143" s="8">
        <v>1</v>
      </c>
      <c r="C143" s="9" t="s">
        <v>10</v>
      </c>
      <c r="D143" s="8">
        <v>2</v>
      </c>
      <c r="E143" s="39">
        <v>13840.49</v>
      </c>
      <c r="F143" s="39">
        <v>10359.65</v>
      </c>
      <c r="G143" s="39">
        <f>F143/E143%</f>
        <v>74.850312380558776</v>
      </c>
    </row>
    <row r="144" spans="2:7">
      <c r="B144" s="8">
        <v>2</v>
      </c>
      <c r="C144" s="9" t="s">
        <v>17</v>
      </c>
      <c r="D144" s="8">
        <v>1</v>
      </c>
      <c r="E144" s="39">
        <v>952</v>
      </c>
      <c r="F144" s="39">
        <v>218</v>
      </c>
      <c r="G144" s="39">
        <f t="shared" ref="G144:G146" si="29">F144/E144%</f>
        <v>22.899159663865547</v>
      </c>
    </row>
    <row r="145" spans="2:7">
      <c r="B145" s="8">
        <v>4</v>
      </c>
      <c r="C145" s="9" t="s">
        <v>12</v>
      </c>
      <c r="D145" s="8">
        <v>1</v>
      </c>
      <c r="E145" s="39">
        <v>1617.57</v>
      </c>
      <c r="F145" s="39">
        <v>1343.64</v>
      </c>
      <c r="G145" s="39">
        <f t="shared" si="29"/>
        <v>83.06533874886405</v>
      </c>
    </row>
    <row r="146" spans="2:7">
      <c r="B146" s="67"/>
      <c r="C146" s="12" t="s">
        <v>13</v>
      </c>
      <c r="D146" s="13">
        <f>SUM(D143:D145)</f>
        <v>4</v>
      </c>
      <c r="E146" s="13">
        <f>SUM(E143:E145)</f>
        <v>16410.060000000001</v>
      </c>
      <c r="F146" s="13">
        <f>SUM(F143:F145)</f>
        <v>11921.289999999999</v>
      </c>
      <c r="G146" s="39">
        <f t="shared" si="29"/>
        <v>72.646230422070346</v>
      </c>
    </row>
    <row r="147" spans="2:7">
      <c r="B147" s="54"/>
      <c r="C147" s="55"/>
      <c r="D147" s="32"/>
      <c r="E147" s="56"/>
      <c r="F147" s="56"/>
      <c r="G147" s="53"/>
    </row>
    <row r="148" spans="2:7">
      <c r="B148" s="54"/>
      <c r="C148" s="55"/>
      <c r="D148" s="32"/>
      <c r="E148" s="56"/>
      <c r="F148" s="56"/>
      <c r="G148" s="53"/>
    </row>
    <row r="149" spans="2:7" s="741" customFormat="1">
      <c r="B149" s="54"/>
      <c r="C149" s="55"/>
      <c r="D149" s="1027"/>
      <c r="E149" s="56"/>
      <c r="F149" s="56"/>
      <c r="G149" s="53"/>
    </row>
    <row r="150" spans="2:7" s="741" customFormat="1">
      <c r="B150" s="54"/>
      <c r="C150" s="55"/>
      <c r="D150" s="1027"/>
      <c r="E150" s="56"/>
      <c r="F150" s="56"/>
      <c r="G150" s="53"/>
    </row>
    <row r="151" spans="2:7" s="741" customFormat="1">
      <c r="B151" s="54"/>
      <c r="C151" s="55"/>
      <c r="D151" s="1027"/>
      <c r="E151" s="56"/>
      <c r="F151" s="56"/>
      <c r="G151" s="53"/>
    </row>
    <row r="152" spans="2:7">
      <c r="B152" s="54"/>
      <c r="C152" s="55"/>
      <c r="D152" s="32"/>
      <c r="E152" s="56"/>
      <c r="F152" s="56"/>
      <c r="G152" s="53"/>
    </row>
    <row r="153" spans="2:7">
      <c r="B153" s="54"/>
      <c r="C153" s="55"/>
      <c r="D153" s="32"/>
      <c r="E153" s="56"/>
      <c r="F153" s="56"/>
      <c r="G153" s="53"/>
    </row>
    <row r="154" spans="2:7">
      <c r="B154" s="1650">
        <v>56</v>
      </c>
      <c r="C154" s="1650"/>
      <c r="D154" s="1650"/>
      <c r="E154" s="1650"/>
      <c r="F154" s="1650"/>
      <c r="G154" s="1650"/>
    </row>
    <row r="155" spans="2:7">
      <c r="B155" s="3" t="s">
        <v>1</v>
      </c>
      <c r="C155" s="5"/>
      <c r="D155" s="84" t="s">
        <v>44</v>
      </c>
      <c r="E155" s="20"/>
      <c r="F155" s="19"/>
      <c r="G155" s="28"/>
    </row>
    <row r="156" spans="2:7" ht="25.5">
      <c r="B156" s="58" t="s">
        <v>4</v>
      </c>
      <c r="C156" s="58" t="s">
        <v>5</v>
      </c>
      <c r="D156" s="58" t="s">
        <v>6</v>
      </c>
      <c r="E156" s="59" t="s">
        <v>7</v>
      </c>
      <c r="F156" s="60" t="s">
        <v>8</v>
      </c>
      <c r="G156" s="61" t="s">
        <v>9</v>
      </c>
    </row>
    <row r="157" spans="2:7">
      <c r="B157" s="8">
        <v>1</v>
      </c>
      <c r="C157" s="9" t="s">
        <v>45</v>
      </c>
      <c r="D157" s="34">
        <v>1</v>
      </c>
      <c r="E157" s="36">
        <v>6598.81</v>
      </c>
      <c r="F157" s="38">
        <v>5078.0200000000004</v>
      </c>
      <c r="G157" s="37">
        <f>F157/E157%</f>
        <v>76.95357193190894</v>
      </c>
    </row>
    <row r="158" spans="2:7">
      <c r="B158" s="8">
        <v>2</v>
      </c>
      <c r="C158" s="9" t="s">
        <v>27</v>
      </c>
      <c r="D158" s="34">
        <v>2</v>
      </c>
      <c r="E158" s="48">
        <v>30018.48</v>
      </c>
      <c r="F158" s="38">
        <v>3719.48</v>
      </c>
      <c r="G158" s="37">
        <f t="shared" ref="G158:G187" si="30">F158/E158%</f>
        <v>12.39063403610043</v>
      </c>
    </row>
    <row r="159" spans="2:7">
      <c r="B159" s="8">
        <v>3</v>
      </c>
      <c r="C159" s="9" t="s">
        <v>46</v>
      </c>
      <c r="D159" s="34">
        <v>1</v>
      </c>
      <c r="E159" s="36">
        <v>7527</v>
      </c>
      <c r="F159" s="38">
        <v>1008</v>
      </c>
      <c r="G159" s="37">
        <f t="shared" si="30"/>
        <v>13.391789557592666</v>
      </c>
    </row>
    <row r="160" spans="2:7">
      <c r="B160" s="31">
        <v>4</v>
      </c>
      <c r="C160" s="9" t="s">
        <v>32</v>
      </c>
      <c r="D160" s="34">
        <v>2</v>
      </c>
      <c r="E160" s="36">
        <v>8765.76</v>
      </c>
      <c r="F160" s="38">
        <v>4705.78</v>
      </c>
      <c r="G160" s="37">
        <f t="shared" si="30"/>
        <v>53.683650932720035</v>
      </c>
    </row>
    <row r="161" spans="2:9">
      <c r="B161" s="31">
        <v>5</v>
      </c>
      <c r="C161" s="9" t="s">
        <v>47</v>
      </c>
      <c r="D161" s="34">
        <v>1</v>
      </c>
      <c r="E161" s="36">
        <v>4388.66</v>
      </c>
      <c r="F161" s="38">
        <v>1138.93</v>
      </c>
      <c r="G161" s="37">
        <f t="shared" si="30"/>
        <v>25.951657225667972</v>
      </c>
    </row>
    <row r="162" spans="2:9">
      <c r="B162" s="73">
        <v>6</v>
      </c>
      <c r="C162" s="74" t="s">
        <v>19</v>
      </c>
      <c r="D162" s="75">
        <v>2</v>
      </c>
      <c r="E162" s="64">
        <v>13994.51</v>
      </c>
      <c r="F162" s="47">
        <v>6846.69</v>
      </c>
      <c r="G162" s="37">
        <f t="shared" si="30"/>
        <v>48.92411381320246</v>
      </c>
    </row>
    <row r="163" spans="2:9">
      <c r="B163" s="73">
        <v>7</v>
      </c>
      <c r="C163" s="76" t="s">
        <v>17</v>
      </c>
      <c r="D163" s="77">
        <v>1</v>
      </c>
      <c r="E163" s="46">
        <v>9113</v>
      </c>
      <c r="F163" s="47">
        <v>1318</v>
      </c>
      <c r="G163" s="37">
        <f t="shared" si="30"/>
        <v>14.462855261714036</v>
      </c>
    </row>
    <row r="164" spans="2:9">
      <c r="B164" s="8">
        <v>8</v>
      </c>
      <c r="C164" s="9" t="s">
        <v>26</v>
      </c>
      <c r="D164" s="34">
        <v>2</v>
      </c>
      <c r="E164" s="10">
        <v>8201.8056553000006</v>
      </c>
      <c r="F164" s="10">
        <v>4567.4018531999991</v>
      </c>
      <c r="G164" s="37">
        <f t="shared" si="30"/>
        <v>55.687760051331466</v>
      </c>
    </row>
    <row r="165" spans="2:9">
      <c r="B165" s="8">
        <v>9</v>
      </c>
      <c r="C165" s="30" t="s">
        <v>48</v>
      </c>
      <c r="D165" s="34">
        <v>2</v>
      </c>
      <c r="E165" s="48">
        <v>20620.259999999998</v>
      </c>
      <c r="F165" s="38">
        <v>3151.83</v>
      </c>
      <c r="G165" s="37">
        <f t="shared" si="30"/>
        <v>15.285112796831854</v>
      </c>
    </row>
    <row r="166" spans="2:9">
      <c r="B166" s="8">
        <v>10</v>
      </c>
      <c r="C166" s="9" t="s">
        <v>49</v>
      </c>
      <c r="D166" s="34">
        <v>1</v>
      </c>
      <c r="E166" s="36">
        <v>9491.36</v>
      </c>
      <c r="F166" s="36">
        <v>2090.77</v>
      </c>
      <c r="G166" s="37">
        <f t="shared" si="30"/>
        <v>22.028139276141669</v>
      </c>
    </row>
    <row r="167" spans="2:9">
      <c r="B167" s="8">
        <v>11</v>
      </c>
      <c r="C167" s="9" t="s">
        <v>50</v>
      </c>
      <c r="D167" s="34">
        <v>2</v>
      </c>
      <c r="E167" s="39">
        <v>12724.32</v>
      </c>
      <c r="F167" s="39">
        <v>5894.1</v>
      </c>
      <c r="G167" s="37">
        <f t="shared" si="30"/>
        <v>46.321532309781588</v>
      </c>
    </row>
    <row r="168" spans="2:9">
      <c r="B168" s="73">
        <v>12</v>
      </c>
      <c r="C168" s="74" t="s">
        <v>51</v>
      </c>
      <c r="D168" s="75">
        <v>1</v>
      </c>
      <c r="E168" s="46">
        <v>356.7</v>
      </c>
      <c r="F168" s="46">
        <v>312.58</v>
      </c>
      <c r="G168" s="37">
        <f t="shared" si="30"/>
        <v>87.631062517521727</v>
      </c>
    </row>
    <row r="169" spans="2:9">
      <c r="B169" s="8">
        <v>13</v>
      </c>
      <c r="C169" s="9" t="s">
        <v>52</v>
      </c>
      <c r="D169" s="34">
        <v>1</v>
      </c>
      <c r="E169" s="36">
        <v>2779.37</v>
      </c>
      <c r="F169" s="36">
        <v>339.94</v>
      </c>
      <c r="G169" s="37">
        <f t="shared" si="30"/>
        <v>12.230829288651746</v>
      </c>
    </row>
    <row r="170" spans="2:9">
      <c r="B170" s="73">
        <v>14</v>
      </c>
      <c r="C170" s="74" t="s">
        <v>28</v>
      </c>
      <c r="D170" s="75">
        <v>2</v>
      </c>
      <c r="E170" s="46">
        <v>15291.05</v>
      </c>
      <c r="F170" s="46">
        <v>7636.03</v>
      </c>
      <c r="G170" s="37">
        <f t="shared" si="30"/>
        <v>49.937904852838756</v>
      </c>
    </row>
    <row r="171" spans="2:9">
      <c r="B171" s="8">
        <v>15</v>
      </c>
      <c r="C171" s="29" t="s">
        <v>10</v>
      </c>
      <c r="D171" s="34">
        <v>9</v>
      </c>
      <c r="E171" s="44">
        <v>327931.82</v>
      </c>
      <c r="F171" s="45">
        <v>92271.84</v>
      </c>
      <c r="G171" s="37">
        <f t="shared" si="30"/>
        <v>28.137507363573317</v>
      </c>
    </row>
    <row r="172" spans="2:9">
      <c r="B172" s="8">
        <v>16</v>
      </c>
      <c r="C172" s="9" t="s">
        <v>53</v>
      </c>
      <c r="D172" s="34">
        <v>2</v>
      </c>
      <c r="E172" s="36">
        <v>3402.8</v>
      </c>
      <c r="F172" s="36">
        <v>1517.76</v>
      </c>
      <c r="G172" s="37">
        <f t="shared" si="30"/>
        <v>44.603267897025979</v>
      </c>
    </row>
    <row r="173" spans="2:9">
      <c r="B173" s="73">
        <v>17</v>
      </c>
      <c r="C173" s="76" t="s">
        <v>35</v>
      </c>
      <c r="D173" s="77">
        <v>2</v>
      </c>
      <c r="E173" s="46">
        <v>10849</v>
      </c>
      <c r="F173" s="46">
        <v>4203.1000000000004</v>
      </c>
      <c r="G173" s="37">
        <f t="shared" si="30"/>
        <v>38.741819522536645</v>
      </c>
    </row>
    <row r="174" spans="2:9">
      <c r="B174" s="8">
        <v>18</v>
      </c>
      <c r="C174" s="30" t="s">
        <v>54</v>
      </c>
      <c r="D174" s="34">
        <v>2</v>
      </c>
      <c r="E174" s="39">
        <v>13632.5</v>
      </c>
      <c r="F174" s="39">
        <v>8059.25</v>
      </c>
      <c r="G174" s="37">
        <f t="shared" si="30"/>
        <v>59.11791674307721</v>
      </c>
      <c r="I174" s="229"/>
    </row>
    <row r="175" spans="2:9">
      <c r="B175" s="8">
        <v>19</v>
      </c>
      <c r="C175" s="9" t="s">
        <v>55</v>
      </c>
      <c r="D175" s="34">
        <v>1</v>
      </c>
      <c r="E175" s="36">
        <v>7045.41</v>
      </c>
      <c r="F175" s="36">
        <v>798.02</v>
      </c>
      <c r="G175" s="37">
        <f t="shared" si="30"/>
        <v>11.3268070985223</v>
      </c>
      <c r="I175" s="229"/>
    </row>
    <row r="176" spans="2:9">
      <c r="B176" s="8">
        <v>20</v>
      </c>
      <c r="C176" s="30" t="s">
        <v>56</v>
      </c>
      <c r="D176" s="34">
        <v>3</v>
      </c>
      <c r="E176" s="39">
        <v>105533.13</v>
      </c>
      <c r="F176" s="39">
        <v>14679.23</v>
      </c>
      <c r="G176" s="37">
        <f t="shared" si="30"/>
        <v>13.909594077234324</v>
      </c>
      <c r="I176" s="229"/>
    </row>
    <row r="177" spans="2:14">
      <c r="B177" s="8">
        <v>21</v>
      </c>
      <c r="C177" s="9" t="s">
        <v>57</v>
      </c>
      <c r="D177" s="34">
        <v>1</v>
      </c>
      <c r="E177" s="36">
        <v>3365</v>
      </c>
      <c r="F177" s="36">
        <v>4</v>
      </c>
      <c r="G177" s="37">
        <f t="shared" si="30"/>
        <v>0.11887072808320952</v>
      </c>
      <c r="I177" s="229"/>
    </row>
    <row r="178" spans="2:14">
      <c r="B178" s="8">
        <v>22</v>
      </c>
      <c r="C178" s="9" t="s">
        <v>58</v>
      </c>
      <c r="D178" s="34">
        <v>1</v>
      </c>
      <c r="E178" s="35">
        <v>2815.05</v>
      </c>
      <c r="F178" s="35">
        <v>823.96</v>
      </c>
      <c r="G178" s="37">
        <f t="shared" si="30"/>
        <v>29.269817587609456</v>
      </c>
      <c r="I178" s="229"/>
    </row>
    <row r="179" spans="2:14">
      <c r="B179" s="8">
        <v>23</v>
      </c>
      <c r="C179" s="9" t="s">
        <v>59</v>
      </c>
      <c r="D179" s="34">
        <v>1</v>
      </c>
      <c r="E179" s="35">
        <v>708</v>
      </c>
      <c r="F179" s="35">
        <v>0</v>
      </c>
      <c r="G179" s="37">
        <f t="shared" si="30"/>
        <v>0</v>
      </c>
      <c r="I179" s="229"/>
    </row>
    <row r="180" spans="2:14">
      <c r="B180" s="8">
        <v>24</v>
      </c>
      <c r="C180" s="9" t="s">
        <v>60</v>
      </c>
      <c r="D180" s="34">
        <v>1</v>
      </c>
      <c r="E180" s="35">
        <v>500</v>
      </c>
      <c r="F180" s="35">
        <v>5</v>
      </c>
      <c r="G180" s="37">
        <f t="shared" si="30"/>
        <v>1</v>
      </c>
      <c r="I180" s="229"/>
      <c r="J180" s="229"/>
      <c r="K180" s="229"/>
      <c r="L180" s="229"/>
      <c r="M180" s="229"/>
      <c r="N180" s="229"/>
    </row>
    <row r="181" spans="2:14">
      <c r="B181" s="12" t="s">
        <v>61</v>
      </c>
      <c r="C181" s="12" t="s">
        <v>62</v>
      </c>
      <c r="D181" s="13">
        <f>SUM(D157:D180)</f>
        <v>44</v>
      </c>
      <c r="E181" s="13">
        <f t="shared" ref="E181:F181" si="31">SUM(E157:E180)</f>
        <v>625653.79565530003</v>
      </c>
      <c r="F181" s="13">
        <f t="shared" si="31"/>
        <v>170169.71185319999</v>
      </c>
      <c r="G181" s="195">
        <f t="shared" si="30"/>
        <v>27.19870206732573</v>
      </c>
      <c r="I181" s="229"/>
      <c r="J181" s="229"/>
      <c r="K181" s="19"/>
      <c r="L181" s="19"/>
      <c r="M181" s="229"/>
      <c r="N181" s="229"/>
    </row>
    <row r="182" spans="2:14">
      <c r="B182" s="8">
        <v>25</v>
      </c>
      <c r="C182" s="9" t="s">
        <v>16</v>
      </c>
      <c r="D182" s="8">
        <v>4</v>
      </c>
      <c r="E182" s="44">
        <v>14661.27</v>
      </c>
      <c r="F182" s="741">
        <v>33046.26</v>
      </c>
      <c r="G182" s="37">
        <f t="shared" si="30"/>
        <v>225.39834543665043</v>
      </c>
      <c r="I182" s="736"/>
      <c r="J182" s="575"/>
      <c r="K182" s="736"/>
      <c r="L182" s="575"/>
      <c r="M182" s="229"/>
      <c r="N182" s="229"/>
    </row>
    <row r="183" spans="2:14">
      <c r="B183" s="8">
        <v>26</v>
      </c>
      <c r="C183" s="9" t="s">
        <v>12</v>
      </c>
      <c r="D183" s="8">
        <v>9</v>
      </c>
      <c r="E183" s="44">
        <v>4342.4799999999996</v>
      </c>
      <c r="F183" s="741">
        <v>48406.65</v>
      </c>
      <c r="G183" s="37">
        <f t="shared" si="30"/>
        <v>1114.7236141559663</v>
      </c>
      <c r="I183" s="736"/>
      <c r="J183" s="575"/>
      <c r="K183" s="736"/>
      <c r="L183" s="575"/>
      <c r="M183" s="229"/>
      <c r="N183" s="229"/>
    </row>
    <row r="184" spans="2:14">
      <c r="B184" s="746">
        <v>26</v>
      </c>
      <c r="C184" s="747" t="s">
        <v>63</v>
      </c>
      <c r="D184" s="748">
        <f>SUM(D181:D183)</f>
        <v>57</v>
      </c>
      <c r="E184" s="748">
        <f t="shared" ref="E184:F184" si="32">SUM(E181:E183)</f>
        <v>644657.54565530003</v>
      </c>
      <c r="F184" s="748">
        <f t="shared" si="32"/>
        <v>251622.62185319999</v>
      </c>
      <c r="G184" s="749">
        <f t="shared" si="30"/>
        <v>39.031982724629927</v>
      </c>
      <c r="I184" s="229"/>
      <c r="J184" s="229"/>
      <c r="K184" s="19"/>
      <c r="L184" s="575"/>
      <c r="M184" s="229"/>
      <c r="N184" s="229"/>
    </row>
    <row r="185" spans="2:14" s="741" customFormat="1">
      <c r="B185" s="15"/>
      <c r="C185" s="16" t="s">
        <v>119</v>
      </c>
      <c r="D185" s="720"/>
      <c r="E185" s="742"/>
      <c r="F185" s="346">
        <v>43028.3</v>
      </c>
      <c r="G185" s="749"/>
      <c r="I185" s="229"/>
      <c r="J185" s="229"/>
      <c r="K185" s="19"/>
      <c r="L185" s="575"/>
      <c r="M185" s="229"/>
      <c r="N185" s="229"/>
    </row>
    <row r="186" spans="2:14" s="741" customFormat="1">
      <c r="B186" s="15"/>
      <c r="C186" s="16" t="s">
        <v>117</v>
      </c>
      <c r="D186" s="720"/>
      <c r="E186" s="742"/>
      <c r="F186" s="346">
        <v>8505.15</v>
      </c>
      <c r="G186" s="749"/>
      <c r="J186" s="229"/>
      <c r="K186" s="19"/>
      <c r="L186" s="575"/>
      <c r="M186" s="229"/>
      <c r="N186" s="229"/>
    </row>
    <row r="187" spans="2:14" s="741" customFormat="1">
      <c r="B187" s="1644" t="s">
        <v>206</v>
      </c>
      <c r="C187" s="1645"/>
      <c r="D187" s="720">
        <f>SUM(D184:D186)</f>
        <v>57</v>
      </c>
      <c r="E187" s="1022">
        <f t="shared" ref="E187:F187" si="33">SUM(E184:E186)</f>
        <v>644657.54565530003</v>
      </c>
      <c r="F187" s="1022">
        <f t="shared" si="33"/>
        <v>303156.07185320003</v>
      </c>
      <c r="G187" s="196">
        <f t="shared" si="30"/>
        <v>47.025909166244105</v>
      </c>
      <c r="J187" s="229"/>
      <c r="K187" s="19"/>
      <c r="L187" s="575"/>
      <c r="M187" s="229"/>
      <c r="N187" s="229"/>
    </row>
    <row r="188" spans="2:14" s="741" customFormat="1">
      <c r="B188" s="871"/>
      <c r="C188" s="871"/>
      <c r="D188" s="33"/>
      <c r="E188" s="19"/>
      <c r="F188" s="19"/>
      <c r="G188" s="28"/>
      <c r="J188" s="229"/>
      <c r="K188" s="19"/>
      <c r="L188" s="575"/>
      <c r="M188" s="229"/>
      <c r="N188" s="229"/>
    </row>
    <row r="189" spans="2:14" s="741" customFormat="1">
      <c r="B189" s="871"/>
      <c r="C189" s="871"/>
      <c r="D189" s="33"/>
      <c r="E189" s="19"/>
      <c r="F189" s="19"/>
      <c r="G189" s="28"/>
      <c r="J189" s="229"/>
      <c r="K189" s="19"/>
      <c r="L189" s="575"/>
      <c r="M189" s="229"/>
      <c r="N189" s="229"/>
    </row>
    <row r="190" spans="2:14" s="741" customFormat="1">
      <c r="B190" s="871"/>
      <c r="C190" s="871"/>
      <c r="D190" s="33"/>
      <c r="E190" s="19"/>
      <c r="F190" s="19"/>
      <c r="G190" s="28"/>
      <c r="J190" s="229"/>
      <c r="K190" s="19"/>
      <c r="L190" s="575"/>
      <c r="M190" s="229"/>
      <c r="N190" s="229"/>
    </row>
    <row r="191" spans="2:14" s="741" customFormat="1">
      <c r="B191" s="871"/>
      <c r="C191" s="871"/>
      <c r="D191" s="33"/>
      <c r="E191" s="19"/>
      <c r="F191" s="19"/>
      <c r="G191" s="28"/>
      <c r="J191" s="229"/>
      <c r="K191" s="19"/>
      <c r="L191" s="575"/>
      <c r="M191" s="229"/>
      <c r="N191" s="229"/>
    </row>
    <row r="192" spans="2:14" s="741" customFormat="1">
      <c r="B192" s="871"/>
      <c r="C192" s="871"/>
      <c r="D192" s="33"/>
      <c r="E192" s="19"/>
      <c r="F192" s="19"/>
      <c r="G192" s="28"/>
      <c r="J192" s="229"/>
      <c r="K192" s="19"/>
      <c r="L192" s="575"/>
      <c r="M192" s="229"/>
      <c r="N192" s="229"/>
    </row>
    <row r="193" spans="2:14" s="741" customFormat="1">
      <c r="B193" s="871"/>
      <c r="C193" s="871"/>
      <c r="D193" s="33"/>
      <c r="E193" s="19"/>
      <c r="F193" s="19"/>
      <c r="G193" s="28"/>
      <c r="J193" s="229"/>
      <c r="K193" s="19"/>
      <c r="L193" s="575"/>
      <c r="M193" s="229"/>
      <c r="N193" s="229"/>
    </row>
    <row r="194" spans="2:14" s="741" customFormat="1">
      <c r="B194" s="871"/>
      <c r="C194" s="871"/>
      <c r="D194" s="33"/>
      <c r="E194" s="19"/>
      <c r="F194" s="19"/>
      <c r="G194" s="28"/>
      <c r="J194" s="229"/>
      <c r="K194" s="19"/>
      <c r="L194" s="575"/>
      <c r="M194" s="229"/>
      <c r="N194" s="229"/>
    </row>
    <row r="195" spans="2:14" s="741" customFormat="1">
      <c r="B195" s="871"/>
      <c r="C195" s="871"/>
      <c r="D195" s="33"/>
      <c r="E195" s="19"/>
      <c r="F195" s="19"/>
      <c r="G195" s="28"/>
      <c r="J195" s="229"/>
      <c r="K195" s="19"/>
      <c r="L195" s="575"/>
      <c r="M195" s="229"/>
      <c r="N195" s="229"/>
    </row>
    <row r="196" spans="2:14" s="741" customFormat="1">
      <c r="B196" s="871"/>
      <c r="C196" s="871"/>
      <c r="D196" s="33"/>
      <c r="E196" s="19"/>
      <c r="F196" s="19"/>
      <c r="G196" s="28"/>
      <c r="J196" s="229"/>
      <c r="K196" s="19"/>
      <c r="L196" s="575"/>
      <c r="M196" s="229"/>
      <c r="N196" s="229"/>
    </row>
    <row r="197" spans="2:14" s="741" customFormat="1">
      <c r="B197" s="871"/>
      <c r="C197" s="871"/>
      <c r="D197" s="33"/>
      <c r="E197" s="19"/>
      <c r="F197" s="19"/>
      <c r="G197" s="28"/>
      <c r="J197" s="229"/>
      <c r="K197" s="19"/>
      <c r="L197" s="575"/>
      <c r="M197" s="229"/>
      <c r="N197" s="229"/>
    </row>
    <row r="198" spans="2:14" s="741" customFormat="1">
      <c r="B198" s="871"/>
      <c r="C198" s="871"/>
      <c r="D198" s="33"/>
      <c r="E198" s="19"/>
      <c r="F198" s="19"/>
      <c r="G198" s="28"/>
      <c r="J198" s="229"/>
      <c r="K198" s="19"/>
      <c r="L198" s="575"/>
      <c r="M198" s="229"/>
      <c r="N198" s="229"/>
    </row>
    <row r="199" spans="2:14" s="741" customFormat="1">
      <c r="B199" s="871"/>
      <c r="C199" s="871"/>
      <c r="D199" s="33"/>
      <c r="E199" s="19"/>
      <c r="F199" s="19"/>
      <c r="G199" s="28"/>
      <c r="J199" s="229"/>
      <c r="K199" s="19"/>
      <c r="L199" s="575"/>
      <c r="M199" s="229"/>
      <c r="N199" s="229"/>
    </row>
    <row r="200" spans="2:14" s="741" customFormat="1">
      <c r="B200" s="871"/>
      <c r="C200" s="871"/>
      <c r="D200" s="33"/>
      <c r="E200" s="19"/>
      <c r="F200" s="19"/>
      <c r="G200" s="28"/>
      <c r="J200" s="229"/>
      <c r="K200" s="19"/>
      <c r="L200" s="575"/>
      <c r="M200" s="229"/>
      <c r="N200" s="229"/>
    </row>
    <row r="201" spans="2:14" s="741" customFormat="1">
      <c r="B201" s="871"/>
      <c r="C201" s="871"/>
      <c r="D201" s="33"/>
      <c r="E201" s="19"/>
      <c r="F201" s="19"/>
      <c r="G201" s="28"/>
      <c r="J201" s="229"/>
      <c r="K201" s="19"/>
      <c r="L201" s="575"/>
      <c r="M201" s="229"/>
      <c r="N201" s="229"/>
    </row>
    <row r="202" spans="2:14" s="741" customFormat="1">
      <c r="B202" s="871"/>
      <c r="C202" s="871"/>
      <c r="D202" s="33"/>
      <c r="E202" s="19"/>
      <c r="F202" s="19"/>
      <c r="G202" s="28"/>
      <c r="J202" s="229"/>
      <c r="K202" s="19"/>
      <c r="L202" s="575"/>
      <c r="M202" s="229"/>
      <c r="N202" s="229"/>
    </row>
    <row r="203" spans="2:14" s="741" customFormat="1">
      <c r="B203" s="871"/>
      <c r="C203" s="871"/>
      <c r="D203" s="33"/>
      <c r="E203" s="19"/>
      <c r="F203" s="19"/>
      <c r="G203" s="28"/>
      <c r="J203" s="229"/>
      <c r="K203" s="19"/>
      <c r="L203" s="575"/>
      <c r="M203" s="229"/>
      <c r="N203" s="229"/>
    </row>
    <row r="204" spans="2:14" s="741" customFormat="1">
      <c r="B204" s="871"/>
      <c r="C204" s="871"/>
      <c r="D204" s="33"/>
      <c r="E204" s="19"/>
      <c r="F204" s="19"/>
      <c r="G204" s="28"/>
      <c r="J204" s="229"/>
      <c r="K204" s="19"/>
      <c r="L204" s="575"/>
      <c r="M204" s="229"/>
      <c r="N204" s="229"/>
    </row>
    <row r="205" spans="2:14" s="741" customFormat="1">
      <c r="B205" s="871"/>
      <c r="C205" s="871"/>
      <c r="D205" s="33"/>
      <c r="E205" s="19"/>
      <c r="F205" s="19"/>
      <c r="G205" s="28"/>
      <c r="J205" s="229"/>
      <c r="K205" s="19"/>
      <c r="L205" s="575"/>
      <c r="M205" s="229"/>
      <c r="N205" s="229"/>
    </row>
    <row r="206" spans="2:14" s="741" customFormat="1">
      <c r="B206" s="871"/>
      <c r="C206" s="871"/>
      <c r="D206" s="33"/>
      <c r="E206" s="19"/>
      <c r="F206" s="19"/>
      <c r="G206" s="28"/>
      <c r="J206" s="229"/>
      <c r="K206" s="19"/>
      <c r="L206" s="575"/>
      <c r="M206" s="229"/>
      <c r="N206" s="229"/>
    </row>
    <row r="207" spans="2:14" s="741" customFormat="1">
      <c r="B207" s="871"/>
      <c r="C207" s="871"/>
      <c r="D207" s="33"/>
      <c r="E207" s="19"/>
      <c r="F207" s="19"/>
      <c r="G207" s="28"/>
      <c r="J207" s="229"/>
      <c r="K207" s="19"/>
      <c r="L207" s="575"/>
      <c r="M207" s="229"/>
      <c r="N207" s="229"/>
    </row>
    <row r="208" spans="2:14" s="741" customFormat="1">
      <c r="B208" s="871"/>
      <c r="C208" s="871"/>
      <c r="D208" s="33"/>
      <c r="E208" s="19"/>
      <c r="F208" s="19"/>
      <c r="G208" s="28"/>
      <c r="J208" s="229"/>
      <c r="K208" s="19"/>
      <c r="L208" s="575"/>
      <c r="M208" s="229"/>
      <c r="N208" s="229"/>
    </row>
    <row r="209" spans="2:14" s="741" customFormat="1">
      <c r="B209" s="871"/>
      <c r="C209" s="871"/>
      <c r="D209" s="33">
        <v>57</v>
      </c>
      <c r="E209" s="19"/>
      <c r="F209" s="19"/>
      <c r="G209" s="28"/>
      <c r="J209" s="229"/>
      <c r="K209" s="19"/>
      <c r="L209" s="575"/>
      <c r="M209" s="229"/>
      <c r="N209" s="229"/>
    </row>
    <row r="210" spans="2:14">
      <c r="B210" s="1466" t="s">
        <v>64</v>
      </c>
      <c r="C210" s="1466"/>
      <c r="D210" s="1466"/>
      <c r="E210" s="1466"/>
      <c r="F210" s="1466"/>
      <c r="G210" s="1466"/>
      <c r="J210" s="229"/>
      <c r="K210" s="229"/>
      <c r="L210" s="229"/>
      <c r="M210" s="229"/>
      <c r="N210" s="229"/>
    </row>
    <row r="211" spans="2:14">
      <c r="B211" s="1648" t="s">
        <v>65</v>
      </c>
      <c r="C211" s="1648"/>
      <c r="D211" s="62" t="s">
        <v>66</v>
      </c>
      <c r="E211" s="63" t="s">
        <v>67</v>
      </c>
      <c r="F211" s="63" t="s">
        <v>68</v>
      </c>
      <c r="G211" s="63" t="s">
        <v>69</v>
      </c>
    </row>
    <row r="212" spans="2:14">
      <c r="B212" s="1646" t="s">
        <v>40</v>
      </c>
      <c r="C212" s="1646"/>
      <c r="D212" s="1047">
        <f>D121</f>
        <v>4</v>
      </c>
      <c r="E212" s="49">
        <f>E121</f>
        <v>27562.960000000003</v>
      </c>
      <c r="F212" s="49">
        <f>F121</f>
        <v>9057.2300000000014</v>
      </c>
      <c r="G212" s="91">
        <f>F212/E212%</f>
        <v>32.860149998403656</v>
      </c>
    </row>
    <row r="213" spans="2:14">
      <c r="B213" s="1646" t="s">
        <v>70</v>
      </c>
      <c r="C213" s="1646"/>
      <c r="D213" s="1047">
        <f>D116</f>
        <v>3</v>
      </c>
      <c r="E213" s="49">
        <f>E116</f>
        <v>10362.450000000001</v>
      </c>
      <c r="F213" s="49">
        <f>F116</f>
        <v>3088.42</v>
      </c>
      <c r="G213" s="91">
        <f t="shared" ref="G213:G232" si="34">F213/E213%</f>
        <v>29.803955628253934</v>
      </c>
    </row>
    <row r="214" spans="2:14">
      <c r="B214" s="1646" t="s">
        <v>38</v>
      </c>
      <c r="C214" s="1646"/>
      <c r="D214" s="1047">
        <f>D112</f>
        <v>9</v>
      </c>
      <c r="E214" s="49">
        <f>E112</f>
        <v>47717.93</v>
      </c>
      <c r="F214" s="49">
        <f>F112</f>
        <v>9573.3799999999992</v>
      </c>
      <c r="G214" s="91">
        <f t="shared" si="34"/>
        <v>20.06243774614699</v>
      </c>
    </row>
    <row r="215" spans="2:14">
      <c r="B215" s="1646" t="s">
        <v>33</v>
      </c>
      <c r="C215" s="1646"/>
      <c r="D215" s="1047">
        <f>D90</f>
        <v>5</v>
      </c>
      <c r="E215" s="49">
        <f>E90</f>
        <v>34151.94</v>
      </c>
      <c r="F215" s="49">
        <f>F90</f>
        <v>11625.259999999998</v>
      </c>
      <c r="G215" s="91">
        <f t="shared" si="34"/>
        <v>34.039823213556822</v>
      </c>
    </row>
    <row r="216" spans="2:14">
      <c r="B216" s="1651" t="s">
        <v>71</v>
      </c>
      <c r="C216" s="1652"/>
      <c r="D216" s="1047">
        <f>D99</f>
        <v>9</v>
      </c>
      <c r="E216" s="49">
        <f>E99</f>
        <v>29860.690000000002</v>
      </c>
      <c r="F216" s="49">
        <f>F99</f>
        <v>7789.2600000000011</v>
      </c>
      <c r="G216" s="91">
        <f t="shared" si="34"/>
        <v>26.085331584769143</v>
      </c>
    </row>
    <row r="217" spans="2:14">
      <c r="B217" s="1649" t="s">
        <v>37</v>
      </c>
      <c r="C217" s="1649"/>
      <c r="D217" s="1047">
        <f>D107</f>
        <v>2</v>
      </c>
      <c r="E217" s="49">
        <f>E107</f>
        <v>7237.99</v>
      </c>
      <c r="F217" s="49">
        <f>F107</f>
        <v>1385.13</v>
      </c>
      <c r="G217" s="91">
        <f t="shared" si="34"/>
        <v>19.136942714759211</v>
      </c>
    </row>
    <row r="218" spans="2:14">
      <c r="B218" s="1646" t="s">
        <v>30</v>
      </c>
      <c r="C218" s="1646"/>
      <c r="D218" s="1047">
        <f>D75</f>
        <v>2</v>
      </c>
      <c r="E218" s="49">
        <f>E75</f>
        <v>6875.2</v>
      </c>
      <c r="F218" s="49">
        <f>F75</f>
        <v>1414.4699999999998</v>
      </c>
      <c r="G218" s="91">
        <f t="shared" si="34"/>
        <v>20.57351058878287</v>
      </c>
    </row>
    <row r="219" spans="2:14">
      <c r="B219" s="1646" t="s">
        <v>31</v>
      </c>
      <c r="C219" s="1646"/>
      <c r="D219" s="1047">
        <f>D83</f>
        <v>6</v>
      </c>
      <c r="E219" s="91">
        <f>E83</f>
        <v>27262.474698500002</v>
      </c>
      <c r="F219" s="91">
        <f>F83</f>
        <v>6264.2559294000002</v>
      </c>
      <c r="G219" s="91">
        <f t="shared" si="34"/>
        <v>22.97757631571379</v>
      </c>
    </row>
    <row r="220" spans="2:14">
      <c r="B220" s="1649" t="s">
        <v>25</v>
      </c>
      <c r="C220" s="1649"/>
      <c r="D220" s="1047">
        <f>D65</f>
        <v>17</v>
      </c>
      <c r="E220" s="91">
        <f>E65</f>
        <v>91798.675461599996</v>
      </c>
      <c r="F220" s="91">
        <f>F65</f>
        <v>23499.684937899998</v>
      </c>
      <c r="G220" s="91">
        <f t="shared" si="34"/>
        <v>25.599154693392144</v>
      </c>
    </row>
    <row r="221" spans="2:14">
      <c r="B221" s="1649" t="s">
        <v>21</v>
      </c>
      <c r="C221" s="1649"/>
      <c r="D221" s="1047">
        <f>D42</f>
        <v>17</v>
      </c>
      <c r="E221" s="91">
        <f>E42</f>
        <v>79932.23000000001</v>
      </c>
      <c r="F221" s="91">
        <f>F42</f>
        <v>26148.710000000003</v>
      </c>
      <c r="G221" s="91">
        <f t="shared" si="34"/>
        <v>32.71360000840712</v>
      </c>
    </row>
    <row r="222" spans="2:14">
      <c r="B222" s="1649" t="s">
        <v>20</v>
      </c>
      <c r="C222" s="1649"/>
      <c r="D222" s="1047">
        <f>D33</f>
        <v>7</v>
      </c>
      <c r="E222" s="91">
        <f>E33</f>
        <v>20953.280000000002</v>
      </c>
      <c r="F222" s="91">
        <f>F33</f>
        <v>4592.82</v>
      </c>
      <c r="G222" s="91">
        <f t="shared" si="34"/>
        <v>21.919336733914683</v>
      </c>
    </row>
    <row r="223" spans="2:14">
      <c r="B223" s="1649" t="s">
        <v>29</v>
      </c>
      <c r="C223" s="1649"/>
      <c r="D223" s="1047">
        <f>D70</f>
        <v>4</v>
      </c>
      <c r="E223" s="91">
        <f>E70</f>
        <v>8574.7999999999993</v>
      </c>
      <c r="F223" s="91">
        <f>F70</f>
        <v>999.14</v>
      </c>
      <c r="G223" s="91">
        <f t="shared" si="34"/>
        <v>11.652050193590522</v>
      </c>
    </row>
    <row r="224" spans="2:14">
      <c r="B224" s="1649" t="s">
        <v>15</v>
      </c>
      <c r="C224" s="1649"/>
      <c r="D224" s="1047">
        <f>D19</f>
        <v>7</v>
      </c>
      <c r="E224" s="91">
        <f>E19</f>
        <v>29982.530000000002</v>
      </c>
      <c r="F224" s="91">
        <f>F19</f>
        <v>15009.670000000002</v>
      </c>
      <c r="G224" s="91">
        <f t="shared" si="34"/>
        <v>50.06138574696665</v>
      </c>
    </row>
    <row r="225" spans="2:7">
      <c r="B225" s="1649" t="s">
        <v>18</v>
      </c>
      <c r="C225" s="1649"/>
      <c r="D225" s="1047">
        <f>D27</f>
        <v>11</v>
      </c>
      <c r="E225" s="91">
        <f>E27</f>
        <v>44987.67</v>
      </c>
      <c r="F225" s="91">
        <f>F27</f>
        <v>20102.920000000002</v>
      </c>
      <c r="G225" s="91">
        <f t="shared" si="34"/>
        <v>44.685399354978827</v>
      </c>
    </row>
    <row r="226" spans="2:7">
      <c r="B226" s="1649" t="s">
        <v>2</v>
      </c>
      <c r="C226" s="1649"/>
      <c r="D226" s="1047">
        <f>D8</f>
        <v>4</v>
      </c>
      <c r="E226" s="91">
        <f>E8</f>
        <v>6766.16</v>
      </c>
      <c r="F226" s="91">
        <f>F8</f>
        <v>2101.54</v>
      </c>
      <c r="G226" s="91">
        <f t="shared" si="34"/>
        <v>31.059567021767151</v>
      </c>
    </row>
    <row r="227" spans="2:7">
      <c r="B227" s="1653" t="s">
        <v>72</v>
      </c>
      <c r="C227" s="1654"/>
      <c r="D227" s="1047">
        <f>D12</f>
        <v>1</v>
      </c>
      <c r="E227" s="91">
        <f>E12</f>
        <v>4152.38</v>
      </c>
      <c r="F227" s="91">
        <f>F12</f>
        <v>1334.83</v>
      </c>
      <c r="G227" s="91">
        <f t="shared" si="34"/>
        <v>32.146142694069425</v>
      </c>
    </row>
    <row r="228" spans="2:7">
      <c r="B228" s="1646" t="s">
        <v>43</v>
      </c>
      <c r="C228" s="1646"/>
      <c r="D228" s="1047">
        <f>D146</f>
        <v>4</v>
      </c>
      <c r="E228" s="1021">
        <f t="shared" ref="E228:F228" si="35">E146</f>
        <v>16410.060000000001</v>
      </c>
      <c r="F228" s="1021">
        <f t="shared" si="35"/>
        <v>11921.289999999999</v>
      </c>
      <c r="G228" s="91">
        <f t="shared" si="34"/>
        <v>72.646230422070346</v>
      </c>
    </row>
    <row r="229" spans="2:7">
      <c r="B229" s="1646" t="s">
        <v>42</v>
      </c>
      <c r="C229" s="1646"/>
      <c r="D229" s="1047">
        <f>D140</f>
        <v>14</v>
      </c>
      <c r="E229" s="1021">
        <f t="shared" ref="E229:F229" si="36">E140</f>
        <v>77905.2</v>
      </c>
      <c r="F229" s="1021">
        <f t="shared" si="36"/>
        <v>13764.27</v>
      </c>
      <c r="G229" s="91">
        <f t="shared" si="34"/>
        <v>17.667973383034766</v>
      </c>
    </row>
    <row r="230" spans="2:7">
      <c r="B230" s="1646" t="s">
        <v>41</v>
      </c>
      <c r="C230" s="1646"/>
      <c r="D230" s="1047">
        <f>D130</f>
        <v>9</v>
      </c>
      <c r="E230" s="1021">
        <f t="shared" ref="E230:F230" si="37">E130</f>
        <v>93680.676814599981</v>
      </c>
      <c r="F230" s="1021">
        <f t="shared" si="37"/>
        <v>8699.7568778000004</v>
      </c>
      <c r="G230" s="91">
        <f t="shared" si="34"/>
        <v>9.2866076266905839</v>
      </c>
    </row>
    <row r="231" spans="2:7">
      <c r="B231" s="1646" t="s">
        <v>44</v>
      </c>
      <c r="C231" s="1646"/>
      <c r="D231" s="1047">
        <f>D187</f>
        <v>57</v>
      </c>
      <c r="E231" s="1021">
        <f t="shared" ref="E231:F231" si="38">E187</f>
        <v>644657.54565530003</v>
      </c>
      <c r="F231" s="1021">
        <f t="shared" si="38"/>
        <v>303156.07185320003</v>
      </c>
      <c r="G231" s="91">
        <f t="shared" si="34"/>
        <v>47.025909166244105</v>
      </c>
    </row>
    <row r="232" spans="2:7">
      <c r="B232" s="1456" t="s">
        <v>73</v>
      </c>
      <c r="C232" s="1456"/>
      <c r="D232" s="874">
        <f>SUM(D212:D231)</f>
        <v>192</v>
      </c>
      <c r="E232" s="1046">
        <f t="shared" ref="E232:F232" si="39">SUM(E212:E231)</f>
        <v>1310832.8426299999</v>
      </c>
      <c r="F232" s="1046">
        <f t="shared" si="39"/>
        <v>481528.10959830007</v>
      </c>
      <c r="G232" s="196">
        <f t="shared" si="34"/>
        <v>36.734516708643213</v>
      </c>
    </row>
    <row r="233" spans="2:7">
      <c r="B233" s="33"/>
      <c r="C233" s="33"/>
      <c r="D233" s="33"/>
      <c r="E233" s="57"/>
      <c r="F233" s="57"/>
      <c r="G233" s="28"/>
    </row>
    <row r="234" spans="2:7" s="741" customFormat="1">
      <c r="B234" s="33"/>
      <c r="C234" s="33"/>
      <c r="D234" s="33"/>
      <c r="E234" s="57"/>
      <c r="F234" s="57"/>
      <c r="G234" s="28"/>
    </row>
    <row r="235" spans="2:7" s="741" customFormat="1">
      <c r="B235" s="33"/>
      <c r="C235" s="33"/>
      <c r="D235" s="33"/>
      <c r="E235" s="57"/>
      <c r="F235" s="57"/>
      <c r="G235" s="28"/>
    </row>
    <row r="236" spans="2:7" s="741" customFormat="1">
      <c r="B236" s="33"/>
      <c r="C236" s="33"/>
      <c r="D236" s="33"/>
      <c r="E236" s="57"/>
      <c r="F236" s="57"/>
      <c r="G236" s="28"/>
    </row>
    <row r="237" spans="2:7" s="741" customFormat="1">
      <c r="B237" s="33"/>
      <c r="C237" s="33"/>
      <c r="D237" s="33"/>
      <c r="E237" s="57"/>
      <c r="F237" s="57"/>
      <c r="G237" s="28"/>
    </row>
    <row r="238" spans="2:7" s="741" customFormat="1">
      <c r="B238" s="33"/>
      <c r="C238" s="33"/>
      <c r="D238" s="33"/>
      <c r="E238" s="57"/>
      <c r="F238" s="57"/>
      <c r="G238" s="28"/>
    </row>
    <row r="239" spans="2:7" s="741" customFormat="1">
      <c r="B239" s="33"/>
      <c r="C239" s="33"/>
      <c r="D239" s="33"/>
      <c r="E239" s="57"/>
      <c r="F239" s="57"/>
      <c r="G239" s="28"/>
    </row>
    <row r="240" spans="2:7" s="741" customFormat="1">
      <c r="B240" s="33"/>
      <c r="C240" s="33"/>
      <c r="D240" s="33"/>
      <c r="E240" s="57"/>
      <c r="F240" s="57"/>
      <c r="G240" s="28"/>
    </row>
    <row r="241" spans="2:7" s="741" customFormat="1">
      <c r="B241" s="33"/>
      <c r="C241" s="33"/>
      <c r="D241" s="33"/>
      <c r="E241" s="57"/>
      <c r="F241" s="57"/>
      <c r="G241" s="28"/>
    </row>
    <row r="242" spans="2:7" s="741" customFormat="1">
      <c r="B242" s="33"/>
      <c r="C242" s="33"/>
      <c r="D242" s="33"/>
      <c r="E242" s="57"/>
      <c r="F242" s="57"/>
      <c r="G242" s="28"/>
    </row>
    <row r="243" spans="2:7" s="741" customFormat="1">
      <c r="B243" s="33"/>
      <c r="C243" s="33"/>
      <c r="D243" s="33"/>
      <c r="E243" s="57"/>
      <c r="F243" s="57"/>
      <c r="G243" s="28"/>
    </row>
    <row r="244" spans="2:7" s="741" customFormat="1">
      <c r="B244" s="33"/>
      <c r="C244" s="33"/>
      <c r="D244" s="33"/>
      <c r="E244" s="57"/>
      <c r="F244" s="57"/>
      <c r="G244" s="28"/>
    </row>
    <row r="245" spans="2:7" s="741" customFormat="1">
      <c r="B245" s="33"/>
      <c r="C245" s="33"/>
      <c r="D245" s="33"/>
      <c r="E245" s="57"/>
      <c r="F245" s="57"/>
      <c r="G245" s="28"/>
    </row>
    <row r="246" spans="2:7" s="741" customFormat="1">
      <c r="B246" s="33"/>
      <c r="C246" s="33"/>
      <c r="D246" s="33"/>
      <c r="E246" s="57"/>
      <c r="F246" s="57"/>
      <c r="G246" s="28"/>
    </row>
    <row r="247" spans="2:7" s="741" customFormat="1">
      <c r="B247" s="33"/>
      <c r="C247" s="33"/>
      <c r="D247" s="33"/>
      <c r="E247" s="57"/>
      <c r="F247" s="57"/>
      <c r="G247" s="28"/>
    </row>
    <row r="248" spans="2:7" s="741" customFormat="1">
      <c r="B248" s="33"/>
      <c r="C248" s="33"/>
      <c r="D248" s="33"/>
      <c r="E248" s="57"/>
      <c r="F248" s="57"/>
      <c r="G248" s="28"/>
    </row>
    <row r="249" spans="2:7" s="741" customFormat="1">
      <c r="B249" s="33"/>
      <c r="C249" s="33"/>
      <c r="D249" s="33"/>
      <c r="E249" s="57"/>
      <c r="F249" s="57"/>
      <c r="G249" s="28"/>
    </row>
    <row r="250" spans="2:7" s="741" customFormat="1">
      <c r="B250" s="33"/>
      <c r="C250" s="33"/>
      <c r="D250" s="33"/>
      <c r="E250" s="57"/>
      <c r="F250" s="57"/>
      <c r="G250" s="28"/>
    </row>
    <row r="251" spans="2:7" s="741" customFormat="1">
      <c r="B251" s="33"/>
      <c r="C251" s="33"/>
      <c r="D251" s="33"/>
      <c r="E251" s="57"/>
      <c r="F251" s="57"/>
      <c r="G251" s="28"/>
    </row>
    <row r="252" spans="2:7" s="741" customFormat="1">
      <c r="B252" s="33"/>
      <c r="C252" s="33"/>
      <c r="D252" s="33"/>
      <c r="E252" s="57"/>
      <c r="F252" s="57"/>
      <c r="G252" s="28"/>
    </row>
    <row r="253" spans="2:7" s="741" customFormat="1">
      <c r="B253" s="33"/>
      <c r="C253" s="33"/>
      <c r="D253" s="33"/>
      <c r="E253" s="57"/>
      <c r="F253" s="57"/>
      <c r="G253" s="28"/>
    </row>
    <row r="254" spans="2:7" s="741" customFormat="1">
      <c r="B254" s="33"/>
      <c r="C254" s="33"/>
      <c r="D254" s="33"/>
      <c r="E254" s="57"/>
      <c r="F254" s="57"/>
      <c r="G254" s="28"/>
    </row>
    <row r="255" spans="2:7" s="741" customFormat="1">
      <c r="B255" s="33"/>
      <c r="C255" s="33"/>
      <c r="D255" s="33"/>
      <c r="E255" s="57"/>
      <c r="F255" s="57"/>
      <c r="G255" s="28"/>
    </row>
    <row r="256" spans="2:7" s="741" customFormat="1">
      <c r="B256" s="33"/>
      <c r="C256" s="33"/>
      <c r="D256" s="33"/>
      <c r="E256" s="57"/>
      <c r="F256" s="57"/>
      <c r="G256" s="28"/>
    </row>
    <row r="257" spans="2:12" s="741" customFormat="1">
      <c r="B257" s="33"/>
      <c r="C257" s="33"/>
      <c r="D257" s="33"/>
      <c r="E257" s="57"/>
      <c r="F257" s="57"/>
      <c r="G257" s="28"/>
    </row>
    <row r="258" spans="2:12" s="741" customFormat="1">
      <c r="B258" s="33"/>
      <c r="C258" s="33"/>
      <c r="D258" s="33"/>
      <c r="E258" s="57"/>
      <c r="F258" s="57"/>
      <c r="G258" s="28"/>
    </row>
    <row r="259" spans="2:12" s="741" customFormat="1">
      <c r="B259" s="33"/>
      <c r="C259" s="33"/>
      <c r="D259" s="33"/>
      <c r="E259" s="57"/>
      <c r="F259" s="57"/>
      <c r="G259" s="28"/>
    </row>
    <row r="260" spans="2:12" s="741" customFormat="1">
      <c r="B260" s="33"/>
      <c r="C260" s="33"/>
      <c r="D260" s="33"/>
      <c r="E260" s="57"/>
      <c r="F260" s="57"/>
      <c r="G260" s="28"/>
    </row>
    <row r="261" spans="2:12" s="741" customFormat="1">
      <c r="B261" s="33"/>
      <c r="C261" s="33"/>
      <c r="D261" s="33"/>
      <c r="E261" s="57"/>
      <c r="F261" s="57"/>
      <c r="G261" s="28"/>
    </row>
    <row r="262" spans="2:12" s="741" customFormat="1">
      <c r="B262" s="33"/>
      <c r="C262" s="33"/>
      <c r="D262" s="33"/>
      <c r="E262" s="57"/>
      <c r="F262" s="57"/>
      <c r="G262" s="28"/>
    </row>
    <row r="263" spans="2:12" s="741" customFormat="1">
      <c r="B263" s="33"/>
      <c r="C263" s="33"/>
      <c r="D263" s="33"/>
      <c r="E263" s="57"/>
      <c r="F263" s="57"/>
      <c r="G263" s="28"/>
    </row>
    <row r="264" spans="2:12">
      <c r="B264" s="33"/>
      <c r="C264" s="33"/>
      <c r="D264" s="33"/>
      <c r="E264" s="57"/>
      <c r="F264" s="57"/>
      <c r="G264" s="28"/>
    </row>
    <row r="265" spans="2:12">
      <c r="B265" s="1650">
        <v>58</v>
      </c>
      <c r="C265" s="1650"/>
      <c r="D265" s="1650"/>
      <c r="E265" s="1650"/>
      <c r="F265" s="1650"/>
      <c r="G265" s="1650"/>
    </row>
    <row r="266" spans="2:12">
      <c r="B266" s="1458" t="s">
        <v>74</v>
      </c>
      <c r="C266" s="1458"/>
      <c r="D266" s="1458"/>
      <c r="E266" s="1458"/>
      <c r="F266" s="1458"/>
      <c r="G266" s="1458"/>
    </row>
    <row r="267" spans="2:12" ht="25.5">
      <c r="B267" s="61" t="s">
        <v>4</v>
      </c>
      <c r="C267" s="61" t="s">
        <v>5</v>
      </c>
      <c r="D267" s="61" t="s">
        <v>6</v>
      </c>
      <c r="E267" s="61" t="s">
        <v>7</v>
      </c>
      <c r="F267" s="61" t="s">
        <v>8</v>
      </c>
      <c r="G267" s="61" t="s">
        <v>9</v>
      </c>
    </row>
    <row r="268" spans="2:12">
      <c r="B268" s="25">
        <v>1</v>
      </c>
      <c r="C268" s="87" t="s">
        <v>45</v>
      </c>
      <c r="D268" s="1051">
        <f>D157</f>
        <v>1</v>
      </c>
      <c r="E268" s="88">
        <f t="shared" ref="E268:F268" si="40">E157</f>
        <v>6598.81</v>
      </c>
      <c r="F268" s="88">
        <f t="shared" si="40"/>
        <v>5078.0200000000004</v>
      </c>
      <c r="G268" s="89">
        <f>F268/E268%</f>
        <v>76.95357193190894</v>
      </c>
    </row>
    <row r="269" spans="2:12">
      <c r="B269" s="80">
        <v>2</v>
      </c>
      <c r="C269" s="81" t="s">
        <v>27</v>
      </c>
      <c r="D269" s="181">
        <f>D37+D60+D134+D158</f>
        <v>5</v>
      </c>
      <c r="E269" s="1045">
        <f>E37+E60+E134+E158</f>
        <v>31573.39</v>
      </c>
      <c r="F269" s="1045">
        <f>F37+F60+F134+F158</f>
        <v>4092.92</v>
      </c>
      <c r="G269" s="83">
        <f t="shared" ref="G269:G298" si="41">F269/E269%</f>
        <v>12.963194639536647</v>
      </c>
    </row>
    <row r="270" spans="2:12">
      <c r="B270" s="80">
        <v>3</v>
      </c>
      <c r="C270" s="81" t="s">
        <v>46</v>
      </c>
      <c r="D270" s="181">
        <f>D159</f>
        <v>1</v>
      </c>
      <c r="E270" s="83">
        <f>E159</f>
        <v>7527</v>
      </c>
      <c r="F270" s="83">
        <f>F159</f>
        <v>1008</v>
      </c>
      <c r="G270" s="83">
        <f t="shared" si="41"/>
        <v>13.391789557592666</v>
      </c>
    </row>
    <row r="271" spans="2:12">
      <c r="B271" s="179">
        <v>4</v>
      </c>
      <c r="C271" s="81" t="s">
        <v>32</v>
      </c>
      <c r="D271" s="181">
        <f>D80+D95+D139+D160</f>
        <v>5</v>
      </c>
      <c r="E271" s="82">
        <f>E80+E95+E139+E160</f>
        <v>12247.16</v>
      </c>
      <c r="F271" s="82">
        <f>F80+F95+F139+F160</f>
        <v>5190.04</v>
      </c>
      <c r="G271" s="83">
        <f t="shared" si="41"/>
        <v>42.377498130178751</v>
      </c>
    </row>
    <row r="272" spans="2:12">
      <c r="B272" s="179">
        <v>5</v>
      </c>
      <c r="C272" s="81" t="s">
        <v>47</v>
      </c>
      <c r="D272" s="181">
        <f>D161</f>
        <v>1</v>
      </c>
      <c r="E272" s="83">
        <f>E161</f>
        <v>4388.66</v>
      </c>
      <c r="F272" s="83">
        <f>F161</f>
        <v>1138.93</v>
      </c>
      <c r="G272" s="83">
        <f t="shared" si="41"/>
        <v>25.951657225667972</v>
      </c>
      <c r="L272" s="198"/>
    </row>
    <row r="273" spans="2:13">
      <c r="B273" s="179">
        <v>6</v>
      </c>
      <c r="C273" s="81" t="s">
        <v>19</v>
      </c>
      <c r="D273" s="181">
        <f>D23+D39+D56+D126+D136+D162</f>
        <v>8</v>
      </c>
      <c r="E273" s="1045">
        <f>E23+E39+E56+E126+E136+E162</f>
        <v>20532.68</v>
      </c>
      <c r="F273" s="1045">
        <f>F23+F39+F56+F126+F136+F162</f>
        <v>10500.779999999999</v>
      </c>
      <c r="G273" s="83">
        <f t="shared" si="41"/>
        <v>51.141789576421587</v>
      </c>
    </row>
    <row r="274" spans="2:13">
      <c r="B274" s="80">
        <v>7</v>
      </c>
      <c r="C274" s="81" t="s">
        <v>17</v>
      </c>
      <c r="D274" s="181">
        <f>D163+D144+D135+D127+D87+D58+D24+D18</f>
        <v>8</v>
      </c>
      <c r="E274" s="1045">
        <f t="shared" ref="E274:F274" si="42">E163+E144+E135+E127+E87+E58+E24+E18</f>
        <v>24656.45</v>
      </c>
      <c r="F274" s="1045">
        <f t="shared" si="42"/>
        <v>4768.3799999999992</v>
      </c>
      <c r="G274" s="83">
        <f t="shared" si="41"/>
        <v>19.339280391134974</v>
      </c>
    </row>
    <row r="275" spans="2:13">
      <c r="B275" s="80">
        <v>8</v>
      </c>
      <c r="C275" s="81" t="s">
        <v>26</v>
      </c>
      <c r="D275" s="181">
        <f>D164+D128+D79+D59</f>
        <v>5</v>
      </c>
      <c r="E275" s="1045">
        <f>E164+E128+E79+E59</f>
        <v>16173.932630000001</v>
      </c>
      <c r="F275" s="1045">
        <f>F164+F128+F79+F59</f>
        <v>8083.5995982999993</v>
      </c>
      <c r="G275" s="83">
        <f t="shared" si="41"/>
        <v>49.979184303675432</v>
      </c>
    </row>
    <row r="276" spans="2:13">
      <c r="B276" s="80">
        <v>9</v>
      </c>
      <c r="C276" s="81" t="s">
        <v>48</v>
      </c>
      <c r="D276" s="181">
        <f>D165+D138+D129+D96+D61</f>
        <v>6</v>
      </c>
      <c r="E276" s="1045">
        <f>E165+E138+E129+E96+E61</f>
        <v>29355.47</v>
      </c>
      <c r="F276" s="1045">
        <f>F165+F138+F129+F96+F61</f>
        <v>3977.1200000000003</v>
      </c>
      <c r="G276" s="83">
        <f t="shared" si="41"/>
        <v>13.548139409793132</v>
      </c>
    </row>
    <row r="277" spans="2:13">
      <c r="B277" s="80">
        <v>10</v>
      </c>
      <c r="C277" s="81" t="s">
        <v>49</v>
      </c>
      <c r="D277" s="181">
        <f t="shared" ref="D277:F280" si="43">D166</f>
        <v>1</v>
      </c>
      <c r="E277" s="83">
        <f t="shared" si="43"/>
        <v>9491.36</v>
      </c>
      <c r="F277" s="83">
        <f t="shared" si="43"/>
        <v>2090.77</v>
      </c>
      <c r="G277" s="83">
        <f t="shared" si="41"/>
        <v>22.028139276141669</v>
      </c>
    </row>
    <row r="278" spans="2:13">
      <c r="B278" s="80">
        <v>11</v>
      </c>
      <c r="C278" s="81" t="s">
        <v>50</v>
      </c>
      <c r="D278" s="181">
        <f t="shared" si="43"/>
        <v>2</v>
      </c>
      <c r="E278" s="83">
        <f t="shared" si="43"/>
        <v>12724.32</v>
      </c>
      <c r="F278" s="83">
        <f t="shared" si="43"/>
        <v>5894.1</v>
      </c>
      <c r="G278" s="83">
        <f t="shared" si="41"/>
        <v>46.321532309781588</v>
      </c>
    </row>
    <row r="279" spans="2:13">
      <c r="B279" s="80">
        <v>12</v>
      </c>
      <c r="C279" s="81" t="s">
        <v>51</v>
      </c>
      <c r="D279" s="181">
        <f t="shared" si="43"/>
        <v>1</v>
      </c>
      <c r="E279" s="83">
        <f t="shared" si="43"/>
        <v>356.7</v>
      </c>
      <c r="F279" s="83">
        <f t="shared" si="43"/>
        <v>312.58</v>
      </c>
      <c r="G279" s="83">
        <f t="shared" si="41"/>
        <v>87.631062517521727</v>
      </c>
    </row>
    <row r="280" spans="2:13">
      <c r="B280" s="80">
        <v>13</v>
      </c>
      <c r="C280" s="81" t="s">
        <v>52</v>
      </c>
      <c r="D280" s="181">
        <f t="shared" si="43"/>
        <v>1</v>
      </c>
      <c r="E280" s="83">
        <f t="shared" si="43"/>
        <v>2779.37</v>
      </c>
      <c r="F280" s="83">
        <f t="shared" si="43"/>
        <v>339.94</v>
      </c>
      <c r="G280" s="83">
        <f t="shared" si="41"/>
        <v>12.230829288651746</v>
      </c>
    </row>
    <row r="281" spans="2:13">
      <c r="B281" s="80">
        <v>14</v>
      </c>
      <c r="C281" s="81" t="s">
        <v>28</v>
      </c>
      <c r="D281" s="181">
        <f>D64+D170</f>
        <v>3</v>
      </c>
      <c r="E281" s="83">
        <f>E64+E170</f>
        <v>16291.97</v>
      </c>
      <c r="F281" s="83">
        <f>F64+F170</f>
        <v>8023.03</v>
      </c>
      <c r="G281" s="83">
        <f t="shared" si="41"/>
        <v>49.245303054204001</v>
      </c>
    </row>
    <row r="282" spans="2:13">
      <c r="B282" s="80">
        <v>15</v>
      </c>
      <c r="C282" s="178" t="s">
        <v>10</v>
      </c>
      <c r="D282" s="186">
        <f>D6+D11+D15+D22+D30+D36+D55+D68+D73+D78+D86+D93+D106+D110+D115+D119+D124+D133+D143+D171</f>
        <v>59</v>
      </c>
      <c r="E282" s="180">
        <f>E6+E11+E15+E22+E30+E36+E55+E68+E73+E78+E86+E93+E106+E110+E115+E119+E124+E133+E143+E171</f>
        <v>847111.41999999993</v>
      </c>
      <c r="F282" s="180">
        <f>F6+F11+F15+F22+F30+F36+F55+F68+F73+F78+F86+F93+F106+F110+F115+F119+F124+F133+F143+F171</f>
        <v>228488.97</v>
      </c>
      <c r="G282" s="83">
        <f t="shared" si="41"/>
        <v>26.972717473222119</v>
      </c>
      <c r="I282" s="738"/>
      <c r="J282" s="738"/>
      <c r="K282" s="740"/>
    </row>
    <row r="283" spans="2:13">
      <c r="B283" s="80">
        <v>16</v>
      </c>
      <c r="C283" s="178" t="s">
        <v>53</v>
      </c>
      <c r="D283" s="188">
        <f>D172</f>
        <v>2</v>
      </c>
      <c r="E283" s="41">
        <f>E172</f>
        <v>3402.8</v>
      </c>
      <c r="F283" s="41">
        <f>F172</f>
        <v>1517.76</v>
      </c>
      <c r="G283" s="83">
        <f t="shared" si="41"/>
        <v>44.603267897025979</v>
      </c>
      <c r="J283" s="229"/>
      <c r="K283" s="229"/>
      <c r="L283" s="229"/>
      <c r="M283" s="229"/>
    </row>
    <row r="284" spans="2:13">
      <c r="B284" s="80">
        <v>17</v>
      </c>
      <c r="C284" s="187" t="s">
        <v>35</v>
      </c>
      <c r="D284" s="186">
        <f>D94+D173</f>
        <v>4</v>
      </c>
      <c r="E284" s="180">
        <f>E94+E173</f>
        <v>12623.51</v>
      </c>
      <c r="F284" s="180">
        <f>F94+F173</f>
        <v>4477.6500000000005</v>
      </c>
      <c r="G284" s="83">
        <f t="shared" si="41"/>
        <v>35.470720900922174</v>
      </c>
      <c r="J284" s="229"/>
      <c r="K284" s="343"/>
      <c r="L284" s="343"/>
      <c r="M284" s="229"/>
    </row>
    <row r="285" spans="2:13">
      <c r="B285" s="80">
        <v>18</v>
      </c>
      <c r="C285" s="178" t="s">
        <v>54</v>
      </c>
      <c r="D285" s="188">
        <f t="shared" ref="D285:F286" si="44">D174</f>
        <v>2</v>
      </c>
      <c r="E285" s="41">
        <f t="shared" si="44"/>
        <v>13632.5</v>
      </c>
      <c r="F285" s="41">
        <f t="shared" si="44"/>
        <v>8059.25</v>
      </c>
      <c r="G285" s="83">
        <f t="shared" si="41"/>
        <v>59.11791674307721</v>
      </c>
      <c r="J285" s="229"/>
      <c r="K285" s="229"/>
      <c r="L285" s="229"/>
      <c r="M285" s="229"/>
    </row>
    <row r="286" spans="2:13">
      <c r="B286" s="80">
        <v>19</v>
      </c>
      <c r="C286" s="178" t="s">
        <v>55</v>
      </c>
      <c r="D286" s="188">
        <f t="shared" si="44"/>
        <v>1</v>
      </c>
      <c r="E286" s="41">
        <f t="shared" si="44"/>
        <v>7045.41</v>
      </c>
      <c r="F286" s="41">
        <f t="shared" si="44"/>
        <v>798.02</v>
      </c>
      <c r="G286" s="83">
        <f t="shared" si="41"/>
        <v>11.3268070985223</v>
      </c>
      <c r="J286" s="229"/>
      <c r="K286" s="229"/>
      <c r="L286" s="229"/>
      <c r="M286" s="229"/>
    </row>
    <row r="287" spans="2:13">
      <c r="B287" s="80">
        <v>20</v>
      </c>
      <c r="C287" s="178" t="s">
        <v>56</v>
      </c>
      <c r="D287" s="186">
        <f>D176+D57+D38</f>
        <v>5</v>
      </c>
      <c r="E287" s="179">
        <f>E176+E57+E38</f>
        <v>138980.95000000001</v>
      </c>
      <c r="F287" s="179">
        <f>F176+F57+F38</f>
        <v>18893.47</v>
      </c>
      <c r="G287" s="83">
        <f t="shared" si="41"/>
        <v>13.594287562432118</v>
      </c>
      <c r="J287" s="229"/>
      <c r="K287" s="229"/>
      <c r="L287" s="229"/>
      <c r="M287" s="229"/>
    </row>
    <row r="288" spans="2:13">
      <c r="B288" s="80">
        <v>21</v>
      </c>
      <c r="C288" s="178" t="s">
        <v>57</v>
      </c>
      <c r="D288" s="188">
        <f t="shared" ref="D288:F291" si="45">D177</f>
        <v>1</v>
      </c>
      <c r="E288" s="41">
        <f t="shared" si="45"/>
        <v>3365</v>
      </c>
      <c r="F288" s="41">
        <f t="shared" si="45"/>
        <v>4</v>
      </c>
      <c r="G288" s="83">
        <f t="shared" si="41"/>
        <v>0.11887072808320952</v>
      </c>
      <c r="J288" s="229"/>
      <c r="K288" s="229"/>
      <c r="L288" s="229"/>
      <c r="M288" s="229"/>
    </row>
    <row r="289" spans="1:11">
      <c r="B289" s="80">
        <v>22</v>
      </c>
      <c r="C289" s="178" t="s">
        <v>75</v>
      </c>
      <c r="D289" s="188">
        <f t="shared" si="45"/>
        <v>1</v>
      </c>
      <c r="E289" s="41">
        <f t="shared" si="45"/>
        <v>2815.05</v>
      </c>
      <c r="F289" s="41">
        <f t="shared" si="45"/>
        <v>823.96</v>
      </c>
      <c r="G289" s="83">
        <f t="shared" si="41"/>
        <v>29.269817587609456</v>
      </c>
    </row>
    <row r="290" spans="1:11">
      <c r="B290" s="80">
        <v>23</v>
      </c>
      <c r="C290" s="178" t="s">
        <v>59</v>
      </c>
      <c r="D290" s="188">
        <f t="shared" si="45"/>
        <v>1</v>
      </c>
      <c r="E290" s="41">
        <f t="shared" si="45"/>
        <v>708</v>
      </c>
      <c r="F290" s="41">
        <f t="shared" si="45"/>
        <v>0</v>
      </c>
      <c r="G290" s="83">
        <f t="shared" si="41"/>
        <v>0</v>
      </c>
    </row>
    <row r="291" spans="1:11">
      <c r="B291" s="80">
        <v>24</v>
      </c>
      <c r="C291" s="178" t="s">
        <v>60</v>
      </c>
      <c r="D291" s="188">
        <f t="shared" si="45"/>
        <v>1</v>
      </c>
      <c r="E291" s="41">
        <f t="shared" si="45"/>
        <v>500</v>
      </c>
      <c r="F291" s="41">
        <f t="shared" si="45"/>
        <v>5</v>
      </c>
      <c r="G291" s="83">
        <f t="shared" si="41"/>
        <v>1</v>
      </c>
      <c r="K291" s="644"/>
    </row>
    <row r="292" spans="1:11">
      <c r="A292" s="357"/>
      <c r="B292" s="16" t="s">
        <v>61</v>
      </c>
      <c r="C292" s="16" t="s">
        <v>62</v>
      </c>
      <c r="D292" s="874">
        <f>SUM(D268:D291)</f>
        <v>125</v>
      </c>
      <c r="E292" s="92">
        <f>SUM(E268:E291)</f>
        <v>1224881.9126299999</v>
      </c>
      <c r="F292" s="92">
        <f>SUM(F268:F291)</f>
        <v>323566.28959830006</v>
      </c>
      <c r="G292" s="92">
        <f t="shared" si="41"/>
        <v>26.416121118447744</v>
      </c>
      <c r="H292" s="357"/>
      <c r="K292" s="229"/>
    </row>
    <row r="293" spans="1:11">
      <c r="A293" s="357"/>
      <c r="B293" s="728">
        <v>25</v>
      </c>
      <c r="C293" s="873" t="s">
        <v>16</v>
      </c>
      <c r="D293" s="90">
        <f>D17+D26+D32+D41+D63+D69+D82+D89+D98+D182</f>
        <v>29</v>
      </c>
      <c r="E293" s="1413">
        <f t="shared" ref="E293:F293" si="46">E17+E26+E32+E41+E63+E69+E82+E89+E98+E182</f>
        <v>62349.78</v>
      </c>
      <c r="F293" s="1413">
        <f t="shared" si="46"/>
        <v>45239.770000000004</v>
      </c>
      <c r="G293" s="49">
        <f t="shared" si="41"/>
        <v>72.558026668257696</v>
      </c>
      <c r="H293" s="357"/>
      <c r="K293" s="644"/>
    </row>
    <row r="294" spans="1:11">
      <c r="A294" s="357"/>
      <c r="B294" s="728">
        <v>26</v>
      </c>
      <c r="C294" s="873" t="s">
        <v>12</v>
      </c>
      <c r="D294" s="90">
        <f>D183+D145+D137+D125+D120+D111+D97+D88+D81+D74+D62+D40+D31+D25+D16+D7</f>
        <v>38</v>
      </c>
      <c r="E294" s="1023">
        <f>E183+E145+E137+E125+E120+E111+E97+E88+E81+E74+E62+E40+E31+E25+E16+E7</f>
        <v>23601.15</v>
      </c>
      <c r="F294" s="1023">
        <f>F183+F145+F137+F125+F120+F111+F97+F88+F81+F74+F62+F40+F31+F25+F16+F7</f>
        <v>61188.600000000006</v>
      </c>
      <c r="G294" s="49">
        <f t="shared" si="41"/>
        <v>259.26109532798193</v>
      </c>
      <c r="H294" s="357"/>
      <c r="K294" s="229"/>
    </row>
    <row r="295" spans="1:11">
      <c r="A295" s="357"/>
      <c r="B295" s="727"/>
      <c r="C295" s="16" t="s">
        <v>63</v>
      </c>
      <c r="D295" s="874">
        <f>SUM(D293:D294)</f>
        <v>67</v>
      </c>
      <c r="E295" s="1046">
        <f t="shared" ref="E295:F295" si="47">SUM(E293:E294)</f>
        <v>85950.93</v>
      </c>
      <c r="F295" s="1046">
        <f t="shared" si="47"/>
        <v>106428.37000000001</v>
      </c>
      <c r="G295" s="49">
        <f t="shared" si="41"/>
        <v>123.82457060092312</v>
      </c>
      <c r="H295" s="357"/>
    </row>
    <row r="296" spans="1:11" s="741" customFormat="1">
      <c r="A296" s="357"/>
      <c r="B296" s="727">
        <v>27</v>
      </c>
      <c r="C296" s="16" t="s">
        <v>119</v>
      </c>
      <c r="D296" s="874"/>
      <c r="E296" s="196"/>
      <c r="F296" s="660">
        <f>F185</f>
        <v>43028.3</v>
      </c>
      <c r="G296" s="749"/>
      <c r="H296" s="357"/>
    </row>
    <row r="297" spans="1:11" s="741" customFormat="1">
      <c r="A297" s="357"/>
      <c r="B297" s="727">
        <v>28</v>
      </c>
      <c r="C297" s="16" t="s">
        <v>117</v>
      </c>
      <c r="D297" s="874"/>
      <c r="E297" s="196"/>
      <c r="F297" s="660">
        <f>F186</f>
        <v>8505.15</v>
      </c>
      <c r="G297" s="749"/>
      <c r="H297" s="357"/>
    </row>
    <row r="298" spans="1:11" ht="15.75">
      <c r="A298" s="357"/>
      <c r="B298" s="1655" t="s">
        <v>73</v>
      </c>
      <c r="C298" s="1656"/>
      <c r="D298" s="875">
        <f>D292+D295+D296+D297</f>
        <v>192</v>
      </c>
      <c r="E298" s="876">
        <f>E292+E295</f>
        <v>1310832.8426299999</v>
      </c>
      <c r="F298" s="876">
        <f>SUM(F292+F295+F296+F297)</f>
        <v>481528.10959830007</v>
      </c>
      <c r="G298" s="877">
        <f t="shared" si="41"/>
        <v>36.734516708643213</v>
      </c>
      <c r="H298" s="357"/>
    </row>
    <row r="299" spans="1:11">
      <c r="A299" s="357"/>
      <c r="B299" s="357"/>
      <c r="C299" s="357"/>
      <c r="D299" s="357"/>
      <c r="E299" s="357"/>
      <c r="F299" s="357"/>
      <c r="G299" s="357"/>
      <c r="H299" s="357"/>
    </row>
  </sheetData>
  <mergeCells count="33">
    <mergeCell ref="B298:C298"/>
    <mergeCell ref="B232:C232"/>
    <mergeCell ref="B222:C222"/>
    <mergeCell ref="B224:C224"/>
    <mergeCell ref="B225:C225"/>
    <mergeCell ref="B229:C229"/>
    <mergeCell ref="B231:C231"/>
    <mergeCell ref="B230:C230"/>
    <mergeCell ref="B223:C223"/>
    <mergeCell ref="B226:C226"/>
    <mergeCell ref="B266:G266"/>
    <mergeCell ref="B265:G265"/>
    <mergeCell ref="B213:C213"/>
    <mergeCell ref="B216:C216"/>
    <mergeCell ref="B227:C227"/>
    <mergeCell ref="B220:C220"/>
    <mergeCell ref="B221:C221"/>
    <mergeCell ref="B187:C187"/>
    <mergeCell ref="B228:C228"/>
    <mergeCell ref="B1:G1"/>
    <mergeCell ref="B2:G2"/>
    <mergeCell ref="B215:C215"/>
    <mergeCell ref="B218:C218"/>
    <mergeCell ref="B219:C219"/>
    <mergeCell ref="B214:C214"/>
    <mergeCell ref="C3:F3"/>
    <mergeCell ref="B212:C212"/>
    <mergeCell ref="B211:C211"/>
    <mergeCell ref="B217:C217"/>
    <mergeCell ref="B154:G154"/>
    <mergeCell ref="B52:G52"/>
    <mergeCell ref="B103:G103"/>
    <mergeCell ref="B210:G210"/>
  </mergeCells>
  <pageMargins left="0.7" right="0.7" top="0.75" bottom="0.75" header="0.3" footer="0.3"/>
  <pageSetup paperSize="9" scale="90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M12" sqref="M12"/>
    </sheetView>
  </sheetViews>
  <sheetFormatPr defaultRowHeight="15"/>
  <cols>
    <col min="1" max="1" width="6.42578125" bestFit="1" customWidth="1"/>
    <col min="2" max="2" width="10.140625" bestFit="1" customWidth="1"/>
    <col min="3" max="3" width="10.5703125" bestFit="1" customWidth="1"/>
    <col min="4" max="4" width="9.5703125" bestFit="1" customWidth="1"/>
    <col min="5" max="5" width="6.5703125" bestFit="1" customWidth="1"/>
    <col min="6" max="6" width="6.85546875" bestFit="1" customWidth="1"/>
    <col min="7" max="7" width="9.5703125" bestFit="1" customWidth="1"/>
    <col min="8" max="8" width="6.5703125" bestFit="1" customWidth="1"/>
    <col min="9" max="9" width="8.5703125" bestFit="1" customWidth="1"/>
    <col min="10" max="10" width="9.5703125" bestFit="1" customWidth="1"/>
    <col min="11" max="11" width="6.5703125" bestFit="1" customWidth="1"/>
  </cols>
  <sheetData>
    <row r="1" spans="1:17" ht="15.75">
      <c r="A1" s="1482">
        <v>59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pans="1:17" ht="15.75">
      <c r="A2" s="1471" t="s">
        <v>629</v>
      </c>
      <c r="B2" s="1471"/>
      <c r="C2" s="1471"/>
      <c r="D2" s="1471"/>
      <c r="E2" s="1471"/>
      <c r="F2" s="1471"/>
      <c r="G2" s="1471"/>
      <c r="H2" s="1471"/>
      <c r="I2" s="1471"/>
      <c r="J2" s="1471"/>
      <c r="K2" s="1471"/>
    </row>
    <row r="3" spans="1:17">
      <c r="A3" s="1472" t="s">
        <v>192</v>
      </c>
      <c r="B3" s="1472"/>
      <c r="C3" s="1472"/>
      <c r="D3" s="1472"/>
      <c r="E3" s="1472"/>
      <c r="F3" s="1472"/>
      <c r="G3" s="1472"/>
      <c r="H3" s="1472"/>
      <c r="I3" s="1472"/>
      <c r="J3" s="1472"/>
      <c r="K3" s="1472"/>
    </row>
    <row r="4" spans="1:17" ht="51">
      <c r="A4" s="131" t="s">
        <v>130</v>
      </c>
      <c r="B4" s="131" t="s">
        <v>131</v>
      </c>
      <c r="C4" s="131" t="s">
        <v>179</v>
      </c>
      <c r="D4" s="131" t="s">
        <v>180</v>
      </c>
      <c r="E4" s="131" t="s">
        <v>181</v>
      </c>
      <c r="F4" s="132" t="s">
        <v>182</v>
      </c>
      <c r="G4" s="131" t="s">
        <v>183</v>
      </c>
      <c r="H4" s="131" t="s">
        <v>184</v>
      </c>
      <c r="I4" s="131" t="s">
        <v>185</v>
      </c>
      <c r="J4" s="131" t="s">
        <v>186</v>
      </c>
      <c r="K4" s="131" t="s">
        <v>187</v>
      </c>
    </row>
    <row r="5" spans="1:17">
      <c r="A5" s="133">
        <v>1</v>
      </c>
      <c r="B5" s="134" t="s">
        <v>78</v>
      </c>
      <c r="C5" s="135">
        <v>6598.81</v>
      </c>
      <c r="D5" s="135">
        <v>5078.0200000000004</v>
      </c>
      <c r="E5" s="136">
        <f t="shared" ref="E5:E32" si="0">D5/C5%</f>
        <v>76.95357193190894</v>
      </c>
      <c r="F5" s="136">
        <v>0</v>
      </c>
      <c r="G5" s="136">
        <f t="shared" ref="G5:G28" si="1">D5+F5</f>
        <v>5078.0200000000004</v>
      </c>
      <c r="H5" s="136">
        <f t="shared" ref="H5:H32" si="2">G5/C5%</f>
        <v>76.95357193190894</v>
      </c>
      <c r="I5" s="136">
        <v>0</v>
      </c>
      <c r="J5" s="136">
        <f t="shared" ref="J5:J34" si="3">G5+I5</f>
        <v>5078.0200000000004</v>
      </c>
      <c r="K5" s="136">
        <f t="shared" ref="K5:K32" si="4">J5/C5%</f>
        <v>76.95357193190894</v>
      </c>
      <c r="Q5" s="197"/>
    </row>
    <row r="6" spans="1:17">
      <c r="A6" s="133">
        <v>2</v>
      </c>
      <c r="B6" s="137" t="s">
        <v>27</v>
      </c>
      <c r="C6" s="135">
        <v>31573.39</v>
      </c>
      <c r="D6" s="135">
        <v>4092.92</v>
      </c>
      <c r="E6" s="136">
        <f t="shared" si="0"/>
        <v>12.963194639536647</v>
      </c>
      <c r="F6" s="136">
        <v>0</v>
      </c>
      <c r="G6" s="136">
        <f t="shared" si="1"/>
        <v>4092.92</v>
      </c>
      <c r="H6" s="136">
        <f t="shared" si="2"/>
        <v>12.963194639536647</v>
      </c>
      <c r="I6" s="136">
        <v>0</v>
      </c>
      <c r="J6" s="136">
        <f t="shared" si="3"/>
        <v>4092.92</v>
      </c>
      <c r="K6" s="136">
        <f t="shared" si="4"/>
        <v>12.963194639536647</v>
      </c>
      <c r="Q6" s="197"/>
    </row>
    <row r="7" spans="1:17">
      <c r="A7" s="133">
        <v>3</v>
      </c>
      <c r="B7" s="134" t="s">
        <v>46</v>
      </c>
      <c r="C7" s="135">
        <v>7527</v>
      </c>
      <c r="D7" s="135">
        <v>1008</v>
      </c>
      <c r="E7" s="136">
        <f t="shared" si="0"/>
        <v>13.391789557592666</v>
      </c>
      <c r="F7" s="136">
        <v>0</v>
      </c>
      <c r="G7" s="136">
        <f t="shared" si="1"/>
        <v>1008</v>
      </c>
      <c r="H7" s="136">
        <f t="shared" si="2"/>
        <v>13.391789557592666</v>
      </c>
      <c r="I7" s="136">
        <v>0</v>
      </c>
      <c r="J7" s="136">
        <f t="shared" si="3"/>
        <v>1008</v>
      </c>
      <c r="K7" s="136">
        <f t="shared" si="4"/>
        <v>13.391789557592666</v>
      </c>
      <c r="Q7" s="197"/>
    </row>
    <row r="8" spans="1:17">
      <c r="A8" s="133">
        <v>4</v>
      </c>
      <c r="B8" s="134" t="s">
        <v>32</v>
      </c>
      <c r="C8" s="138">
        <v>12247.16</v>
      </c>
      <c r="D8" s="139">
        <v>5190.04</v>
      </c>
      <c r="E8" s="136">
        <f t="shared" si="0"/>
        <v>42.377498130178751</v>
      </c>
      <c r="F8" s="136">
        <v>0</v>
      </c>
      <c r="G8" s="136">
        <f t="shared" si="1"/>
        <v>5190.04</v>
      </c>
      <c r="H8" s="136">
        <f t="shared" si="2"/>
        <v>42.377498130178751</v>
      </c>
      <c r="I8" s="136">
        <v>0</v>
      </c>
      <c r="J8" s="136">
        <f t="shared" si="3"/>
        <v>5190.04</v>
      </c>
      <c r="K8" s="136">
        <f t="shared" si="4"/>
        <v>42.377498130178751</v>
      </c>
      <c r="Q8" s="197"/>
    </row>
    <row r="9" spans="1:17">
      <c r="A9" s="133">
        <v>5</v>
      </c>
      <c r="B9" s="134" t="s">
        <v>83</v>
      </c>
      <c r="C9" s="135">
        <v>4388.66</v>
      </c>
      <c r="D9" s="135">
        <v>1138.93</v>
      </c>
      <c r="E9" s="136">
        <f t="shared" si="0"/>
        <v>25.951657225667972</v>
      </c>
      <c r="F9" s="136">
        <v>0</v>
      </c>
      <c r="G9" s="136">
        <f t="shared" si="1"/>
        <v>1138.93</v>
      </c>
      <c r="H9" s="136">
        <f t="shared" si="2"/>
        <v>25.951657225667972</v>
      </c>
      <c r="I9" s="136">
        <v>0</v>
      </c>
      <c r="J9" s="136">
        <f t="shared" si="3"/>
        <v>1138.93</v>
      </c>
      <c r="K9" s="136">
        <f t="shared" si="4"/>
        <v>25.951657225667972</v>
      </c>
      <c r="Q9" s="197"/>
    </row>
    <row r="10" spans="1:17">
      <c r="A10" s="140">
        <v>6</v>
      </c>
      <c r="B10" s="141" t="s">
        <v>85</v>
      </c>
      <c r="C10" s="142">
        <v>20532.68</v>
      </c>
      <c r="D10" s="143">
        <v>10500.779999999999</v>
      </c>
      <c r="E10" s="144">
        <f t="shared" si="0"/>
        <v>51.141789576421587</v>
      </c>
      <c r="F10" s="144">
        <v>0</v>
      </c>
      <c r="G10" s="136">
        <f t="shared" si="1"/>
        <v>10500.779999999999</v>
      </c>
      <c r="H10" s="136">
        <f t="shared" si="2"/>
        <v>51.141789576421587</v>
      </c>
      <c r="I10" s="144">
        <v>0</v>
      </c>
      <c r="J10" s="136">
        <f t="shared" si="3"/>
        <v>10500.779999999999</v>
      </c>
      <c r="K10" s="144">
        <f t="shared" si="4"/>
        <v>51.141789576421587</v>
      </c>
      <c r="Q10" s="197"/>
    </row>
    <row r="11" spans="1:17">
      <c r="A11" s="133">
        <v>7</v>
      </c>
      <c r="B11" s="134" t="s">
        <v>17</v>
      </c>
      <c r="C11" s="135">
        <v>23732.43</v>
      </c>
      <c r="D11" s="135">
        <v>4498.9799999999996</v>
      </c>
      <c r="E11" s="136">
        <f t="shared" si="0"/>
        <v>18.957097945722371</v>
      </c>
      <c r="F11" s="136">
        <v>0</v>
      </c>
      <c r="G11" s="136">
        <f t="shared" si="1"/>
        <v>4498.9799999999996</v>
      </c>
      <c r="H11" s="136">
        <f t="shared" si="2"/>
        <v>18.957097945722371</v>
      </c>
      <c r="I11" s="136">
        <v>0</v>
      </c>
      <c r="J11" s="136">
        <f t="shared" si="3"/>
        <v>4498.9799999999996</v>
      </c>
      <c r="K11" s="136">
        <f t="shared" si="4"/>
        <v>18.957097945722371</v>
      </c>
      <c r="Q11" s="197"/>
    </row>
    <row r="12" spans="1:17">
      <c r="A12" s="133">
        <v>8</v>
      </c>
      <c r="B12" s="134" t="s">
        <v>26</v>
      </c>
      <c r="C12" s="138">
        <v>16173.932630000001</v>
      </c>
      <c r="D12" s="139">
        <v>8083.5995982999993</v>
      </c>
      <c r="E12" s="136">
        <f t="shared" si="0"/>
        <v>49.979184303675432</v>
      </c>
      <c r="F12" s="136">
        <v>0</v>
      </c>
      <c r="G12" s="136">
        <f t="shared" si="1"/>
        <v>8083.5995982999993</v>
      </c>
      <c r="H12" s="136">
        <f t="shared" si="2"/>
        <v>49.979184303675432</v>
      </c>
      <c r="I12" s="136">
        <v>0</v>
      </c>
      <c r="J12" s="136">
        <f t="shared" si="3"/>
        <v>8083.5995982999993</v>
      </c>
      <c r="K12" s="136">
        <f t="shared" si="4"/>
        <v>49.979184303675432</v>
      </c>
      <c r="Q12" s="197"/>
    </row>
    <row r="13" spans="1:17">
      <c r="A13" s="133">
        <v>9</v>
      </c>
      <c r="B13" s="134" t="s">
        <v>48</v>
      </c>
      <c r="C13" s="145">
        <v>29355.47</v>
      </c>
      <c r="D13" s="139">
        <v>3977.1200000000003</v>
      </c>
      <c r="E13" s="136">
        <f t="shared" si="0"/>
        <v>13.548139409793132</v>
      </c>
      <c r="F13" s="136">
        <v>0</v>
      </c>
      <c r="G13" s="136">
        <f t="shared" si="1"/>
        <v>3977.1200000000003</v>
      </c>
      <c r="H13" s="136">
        <f t="shared" si="2"/>
        <v>13.548139409793132</v>
      </c>
      <c r="I13" s="136">
        <v>0</v>
      </c>
      <c r="J13" s="136">
        <f t="shared" si="3"/>
        <v>3977.1200000000003</v>
      </c>
      <c r="K13" s="136">
        <f t="shared" si="4"/>
        <v>13.548139409793132</v>
      </c>
      <c r="Q13" s="197"/>
    </row>
    <row r="14" spans="1:17">
      <c r="A14" s="133">
        <v>10</v>
      </c>
      <c r="B14" s="134" t="s">
        <v>49</v>
      </c>
      <c r="C14" s="135">
        <v>9491.36</v>
      </c>
      <c r="D14" s="135">
        <v>2090.77</v>
      </c>
      <c r="E14" s="136">
        <f t="shared" si="0"/>
        <v>22.028139276141669</v>
      </c>
      <c r="F14" s="136">
        <v>0</v>
      </c>
      <c r="G14" s="136">
        <f t="shared" si="1"/>
        <v>2090.77</v>
      </c>
      <c r="H14" s="136">
        <f t="shared" si="2"/>
        <v>22.028139276141669</v>
      </c>
      <c r="I14" s="136">
        <v>0</v>
      </c>
      <c r="J14" s="136">
        <f t="shared" si="3"/>
        <v>2090.77</v>
      </c>
      <c r="K14" s="136">
        <f t="shared" si="4"/>
        <v>22.028139276141669</v>
      </c>
      <c r="Q14" s="197"/>
    </row>
    <row r="15" spans="1:17">
      <c r="A15" s="133">
        <v>11</v>
      </c>
      <c r="B15" s="134" t="s">
        <v>50</v>
      </c>
      <c r="C15" s="40">
        <v>12724.32</v>
      </c>
      <c r="D15" s="40">
        <v>5894.1</v>
      </c>
      <c r="E15" s="136">
        <f t="shared" si="0"/>
        <v>46.321532309781588</v>
      </c>
      <c r="F15" s="136">
        <v>0</v>
      </c>
      <c r="G15" s="136">
        <f t="shared" si="1"/>
        <v>5894.1</v>
      </c>
      <c r="H15" s="136">
        <f t="shared" si="2"/>
        <v>46.321532309781588</v>
      </c>
      <c r="I15" s="136">
        <v>0</v>
      </c>
      <c r="J15" s="136">
        <f t="shared" si="3"/>
        <v>5894.1</v>
      </c>
      <c r="K15" s="136">
        <f t="shared" si="4"/>
        <v>46.321532309781588</v>
      </c>
      <c r="Q15" s="197"/>
    </row>
    <row r="16" spans="1:17">
      <c r="A16" s="133">
        <v>12</v>
      </c>
      <c r="B16" s="134" t="s">
        <v>51</v>
      </c>
      <c r="C16" s="135">
        <v>356.7</v>
      </c>
      <c r="D16" s="135">
        <v>312.58</v>
      </c>
      <c r="E16" s="136">
        <f t="shared" si="0"/>
        <v>87.631062517521727</v>
      </c>
      <c r="F16" s="136">
        <v>0</v>
      </c>
      <c r="G16" s="136">
        <f t="shared" si="1"/>
        <v>312.58</v>
      </c>
      <c r="H16" s="136">
        <f t="shared" si="2"/>
        <v>87.631062517521727</v>
      </c>
      <c r="I16" s="136">
        <v>0</v>
      </c>
      <c r="J16" s="136">
        <f t="shared" si="3"/>
        <v>312.58</v>
      </c>
      <c r="K16" s="136">
        <f t="shared" si="4"/>
        <v>87.631062517521727</v>
      </c>
      <c r="Q16" s="197"/>
    </row>
    <row r="17" spans="1:17">
      <c r="A17" s="133">
        <v>13</v>
      </c>
      <c r="B17" s="134" t="s">
        <v>52</v>
      </c>
      <c r="C17" s="135">
        <v>2779.37</v>
      </c>
      <c r="D17" s="135">
        <v>339.94</v>
      </c>
      <c r="E17" s="136">
        <f t="shared" si="0"/>
        <v>12.230829288651746</v>
      </c>
      <c r="F17" s="136">
        <v>0</v>
      </c>
      <c r="G17" s="136">
        <f t="shared" si="1"/>
        <v>339.94</v>
      </c>
      <c r="H17" s="136">
        <f t="shared" si="2"/>
        <v>12.230829288651746</v>
      </c>
      <c r="I17" s="136">
        <v>0</v>
      </c>
      <c r="J17" s="136">
        <f t="shared" si="3"/>
        <v>339.94</v>
      </c>
      <c r="K17" s="136">
        <f t="shared" si="4"/>
        <v>12.230829288651746</v>
      </c>
      <c r="Q17" s="197"/>
    </row>
    <row r="18" spans="1:17">
      <c r="A18" s="133">
        <v>14</v>
      </c>
      <c r="B18" s="134" t="s">
        <v>28</v>
      </c>
      <c r="C18" s="138">
        <v>16291.97</v>
      </c>
      <c r="D18" s="138">
        <v>8023.03</v>
      </c>
      <c r="E18" s="136">
        <f t="shared" si="0"/>
        <v>49.245303054204001</v>
      </c>
      <c r="F18" s="136">
        <v>0</v>
      </c>
      <c r="G18" s="136">
        <f t="shared" si="1"/>
        <v>8023.03</v>
      </c>
      <c r="H18" s="136">
        <f t="shared" si="2"/>
        <v>49.245303054204001</v>
      </c>
      <c r="I18" s="136">
        <v>0</v>
      </c>
      <c r="J18" s="136">
        <f t="shared" si="3"/>
        <v>8023.03</v>
      </c>
      <c r="K18" s="136">
        <f t="shared" si="4"/>
        <v>49.245303054204001</v>
      </c>
      <c r="Q18" s="197"/>
    </row>
    <row r="19" spans="1:17">
      <c r="A19" s="133">
        <v>15</v>
      </c>
      <c r="B19" s="134" t="s">
        <v>10</v>
      </c>
      <c r="C19" s="135">
        <v>847111.41999999993</v>
      </c>
      <c r="D19" s="135">
        <v>228488.97</v>
      </c>
      <c r="E19" s="136">
        <f t="shared" si="0"/>
        <v>26.972717473222119</v>
      </c>
      <c r="F19" s="136">
        <v>0</v>
      </c>
      <c r="G19" s="136">
        <f t="shared" si="1"/>
        <v>228488.97</v>
      </c>
      <c r="H19" s="136">
        <f t="shared" si="2"/>
        <v>26.972717473222119</v>
      </c>
      <c r="I19" s="136">
        <v>0</v>
      </c>
      <c r="J19" s="136">
        <f t="shared" si="3"/>
        <v>228488.97</v>
      </c>
      <c r="K19" s="136">
        <f t="shared" si="4"/>
        <v>26.972717473222119</v>
      </c>
      <c r="Q19" s="197"/>
    </row>
    <row r="20" spans="1:17">
      <c r="A20" s="133">
        <v>16</v>
      </c>
      <c r="B20" s="134" t="s">
        <v>53</v>
      </c>
      <c r="C20" s="138">
        <v>3402.8</v>
      </c>
      <c r="D20" s="138">
        <v>1517.76</v>
      </c>
      <c r="E20" s="136">
        <f t="shared" si="0"/>
        <v>44.603267897025979</v>
      </c>
      <c r="F20" s="136">
        <v>0</v>
      </c>
      <c r="G20" s="136">
        <f t="shared" si="1"/>
        <v>1517.76</v>
      </c>
      <c r="H20" s="136">
        <f t="shared" si="2"/>
        <v>44.603267897025979</v>
      </c>
      <c r="I20" s="136">
        <v>0</v>
      </c>
      <c r="J20" s="136">
        <f t="shared" si="3"/>
        <v>1517.76</v>
      </c>
      <c r="K20" s="136">
        <f t="shared" si="4"/>
        <v>44.603267897025979</v>
      </c>
      <c r="Q20" s="197"/>
    </row>
    <row r="21" spans="1:17">
      <c r="A21" s="133">
        <v>17</v>
      </c>
      <c r="B21" s="134" t="s">
        <v>35</v>
      </c>
      <c r="C21" s="138">
        <v>12623.51</v>
      </c>
      <c r="D21" s="138">
        <v>4477.6500000000005</v>
      </c>
      <c r="E21" s="136">
        <f t="shared" si="0"/>
        <v>35.470720900922174</v>
      </c>
      <c r="F21" s="136">
        <v>0</v>
      </c>
      <c r="G21" s="136">
        <f t="shared" si="1"/>
        <v>4477.6500000000005</v>
      </c>
      <c r="H21" s="136">
        <f t="shared" si="2"/>
        <v>35.470720900922174</v>
      </c>
      <c r="I21" s="136">
        <v>0</v>
      </c>
      <c r="J21" s="136">
        <f t="shared" si="3"/>
        <v>4477.6500000000005</v>
      </c>
      <c r="K21" s="136">
        <f t="shared" si="4"/>
        <v>35.470720900922174</v>
      </c>
      <c r="Q21" s="197"/>
    </row>
    <row r="22" spans="1:17">
      <c r="A22" s="133">
        <v>18</v>
      </c>
      <c r="B22" s="134" t="s">
        <v>54</v>
      </c>
      <c r="C22" s="135">
        <v>13632.5</v>
      </c>
      <c r="D22" s="135">
        <v>8059.25</v>
      </c>
      <c r="E22" s="136">
        <f t="shared" si="0"/>
        <v>59.11791674307721</v>
      </c>
      <c r="F22" s="146">
        <v>0</v>
      </c>
      <c r="G22" s="136">
        <f t="shared" si="1"/>
        <v>8059.25</v>
      </c>
      <c r="H22" s="136">
        <f t="shared" si="2"/>
        <v>59.11791674307721</v>
      </c>
      <c r="I22" s="136">
        <v>0</v>
      </c>
      <c r="J22" s="136">
        <f t="shared" si="3"/>
        <v>8059.25</v>
      </c>
      <c r="K22" s="136">
        <f t="shared" si="4"/>
        <v>59.11791674307721</v>
      </c>
      <c r="Q22" s="197"/>
    </row>
    <row r="23" spans="1:17">
      <c r="A23" s="133">
        <v>19</v>
      </c>
      <c r="B23" s="134" t="s">
        <v>55</v>
      </c>
      <c r="C23" s="135">
        <v>7045.41</v>
      </c>
      <c r="D23" s="135">
        <v>798.02</v>
      </c>
      <c r="E23" s="136">
        <f t="shared" si="0"/>
        <v>11.3268070985223</v>
      </c>
      <c r="F23" s="146">
        <v>0</v>
      </c>
      <c r="G23" s="136">
        <f t="shared" si="1"/>
        <v>798.02</v>
      </c>
      <c r="H23" s="136">
        <f t="shared" si="2"/>
        <v>11.3268070985223</v>
      </c>
      <c r="I23" s="136">
        <v>0</v>
      </c>
      <c r="J23" s="136">
        <f t="shared" si="3"/>
        <v>798.02</v>
      </c>
      <c r="K23" s="136">
        <f t="shared" si="4"/>
        <v>11.3268070985223</v>
      </c>
      <c r="Q23" s="197"/>
    </row>
    <row r="24" spans="1:17">
      <c r="A24" s="133">
        <v>20</v>
      </c>
      <c r="B24" s="134" t="s">
        <v>56</v>
      </c>
      <c r="C24" s="135">
        <v>138980.95000000001</v>
      </c>
      <c r="D24" s="135">
        <v>18893.47</v>
      </c>
      <c r="E24" s="136">
        <f t="shared" si="0"/>
        <v>13.594287562432118</v>
      </c>
      <c r="F24" s="136">
        <v>0</v>
      </c>
      <c r="G24" s="136">
        <f t="shared" si="1"/>
        <v>18893.47</v>
      </c>
      <c r="H24" s="136">
        <f t="shared" si="2"/>
        <v>13.594287562432118</v>
      </c>
      <c r="I24" s="136">
        <v>0</v>
      </c>
      <c r="J24" s="136">
        <f t="shared" si="3"/>
        <v>18893.47</v>
      </c>
      <c r="K24" s="136">
        <f t="shared" si="4"/>
        <v>13.594287562432118</v>
      </c>
      <c r="Q24" s="197"/>
    </row>
    <row r="25" spans="1:17">
      <c r="A25" s="133">
        <v>21</v>
      </c>
      <c r="B25" s="134" t="s">
        <v>57</v>
      </c>
      <c r="C25" s="135">
        <v>3365</v>
      </c>
      <c r="D25" s="135">
        <v>4</v>
      </c>
      <c r="E25" s="136">
        <f t="shared" si="0"/>
        <v>0.11887072808320952</v>
      </c>
      <c r="F25" s="136">
        <v>0</v>
      </c>
      <c r="G25" s="136">
        <f t="shared" si="1"/>
        <v>4</v>
      </c>
      <c r="H25" s="136">
        <f t="shared" si="2"/>
        <v>0.11887072808320952</v>
      </c>
      <c r="I25" s="136">
        <v>0</v>
      </c>
      <c r="J25" s="136">
        <f t="shared" si="3"/>
        <v>4</v>
      </c>
      <c r="K25" s="136">
        <f t="shared" si="4"/>
        <v>0.11887072808320952</v>
      </c>
      <c r="Q25" s="197"/>
    </row>
    <row r="26" spans="1:17">
      <c r="A26" s="133">
        <v>22</v>
      </c>
      <c r="B26" s="134" t="s">
        <v>75</v>
      </c>
      <c r="C26" s="135">
        <v>2815.05</v>
      </c>
      <c r="D26" s="135">
        <v>823.96</v>
      </c>
      <c r="E26" s="136">
        <f t="shared" si="0"/>
        <v>29.269817587609456</v>
      </c>
      <c r="F26" s="136">
        <v>0</v>
      </c>
      <c r="G26" s="136">
        <f t="shared" si="1"/>
        <v>823.96</v>
      </c>
      <c r="H26" s="136">
        <f t="shared" si="2"/>
        <v>29.269817587609456</v>
      </c>
      <c r="I26" s="136">
        <v>0</v>
      </c>
      <c r="J26" s="136">
        <f t="shared" si="3"/>
        <v>823.96</v>
      </c>
      <c r="K26" s="136">
        <f t="shared" si="4"/>
        <v>29.269817587609456</v>
      </c>
      <c r="Q26" s="197"/>
    </row>
    <row r="27" spans="1:17">
      <c r="A27" s="133">
        <v>23</v>
      </c>
      <c r="B27" s="134" t="s">
        <v>59</v>
      </c>
      <c r="C27" s="135">
        <v>708</v>
      </c>
      <c r="D27" s="135">
        <v>0</v>
      </c>
      <c r="E27" s="136">
        <f t="shared" si="0"/>
        <v>0</v>
      </c>
      <c r="F27" s="136">
        <v>0</v>
      </c>
      <c r="G27" s="136">
        <f t="shared" si="1"/>
        <v>0</v>
      </c>
      <c r="H27" s="136">
        <f t="shared" si="2"/>
        <v>0</v>
      </c>
      <c r="I27" s="136">
        <v>0</v>
      </c>
      <c r="J27" s="136">
        <f t="shared" si="3"/>
        <v>0</v>
      </c>
      <c r="K27" s="136">
        <v>0</v>
      </c>
      <c r="Q27" s="197"/>
    </row>
    <row r="28" spans="1:17">
      <c r="A28" s="133">
        <v>24</v>
      </c>
      <c r="B28" s="134" t="s">
        <v>60</v>
      </c>
      <c r="C28" s="135">
        <v>500</v>
      </c>
      <c r="D28" s="135">
        <v>5</v>
      </c>
      <c r="E28" s="136">
        <v>0</v>
      </c>
      <c r="F28" s="136">
        <v>0</v>
      </c>
      <c r="G28" s="136">
        <f t="shared" si="1"/>
        <v>5</v>
      </c>
      <c r="H28" s="136">
        <f t="shared" si="2"/>
        <v>1</v>
      </c>
      <c r="I28" s="136">
        <v>0</v>
      </c>
      <c r="J28" s="136">
        <f t="shared" si="3"/>
        <v>5</v>
      </c>
      <c r="K28" s="136">
        <v>0</v>
      </c>
      <c r="Q28" s="197"/>
    </row>
    <row r="29" spans="1:17" s="668" customFormat="1">
      <c r="A29" s="147" t="s">
        <v>113</v>
      </c>
      <c r="B29" s="148" t="s">
        <v>62</v>
      </c>
      <c r="C29" s="149">
        <f>SUM(C5:C28)</f>
        <v>1223957.8926299999</v>
      </c>
      <c r="D29" s="149">
        <f>SUM(D5:D28)</f>
        <v>323296.88959830004</v>
      </c>
      <c r="E29" s="150">
        <f t="shared" si="0"/>
        <v>26.414053256653336</v>
      </c>
      <c r="F29" s="151">
        <f>SUM(F5:F26)</f>
        <v>0</v>
      </c>
      <c r="G29" s="151">
        <f>SUM(G5:G26)</f>
        <v>323291.88959830004</v>
      </c>
      <c r="H29" s="150">
        <f t="shared" si="2"/>
        <v>26.413644745867948</v>
      </c>
      <c r="I29" s="150">
        <f>SUM(I5:I28)</f>
        <v>0</v>
      </c>
      <c r="J29" s="150">
        <f>SUM(J5:J28)</f>
        <v>323296.88959830004</v>
      </c>
      <c r="K29" s="150">
        <f t="shared" si="4"/>
        <v>26.414053256653336</v>
      </c>
      <c r="Q29" s="669"/>
    </row>
    <row r="30" spans="1:17">
      <c r="A30" s="133">
        <v>1</v>
      </c>
      <c r="B30" s="134" t="s">
        <v>16</v>
      </c>
      <c r="C30" s="135">
        <v>62349.77</v>
      </c>
      <c r="D30" s="135">
        <v>18331.38</v>
      </c>
      <c r="E30" s="136">
        <f t="shared" si="0"/>
        <v>29.40087830315974</v>
      </c>
      <c r="F30" s="136">
        <v>0</v>
      </c>
      <c r="G30" s="136">
        <f>D30+F30</f>
        <v>18331.38</v>
      </c>
      <c r="H30" s="136">
        <f t="shared" si="2"/>
        <v>29.40087830315974</v>
      </c>
      <c r="I30" s="136">
        <v>26835.05</v>
      </c>
      <c r="J30" s="136">
        <f t="shared" si="3"/>
        <v>45166.43</v>
      </c>
      <c r="K30" s="136">
        <f t="shared" si="4"/>
        <v>72.440411568478922</v>
      </c>
    </row>
    <row r="31" spans="1:17">
      <c r="A31" s="133">
        <v>1</v>
      </c>
      <c r="B31" s="134" t="s">
        <v>12</v>
      </c>
      <c r="C31" s="135">
        <v>23601.16</v>
      </c>
      <c r="D31" s="135">
        <v>30099.599999999999</v>
      </c>
      <c r="E31" s="136">
        <f t="shared" si="0"/>
        <v>127.53440932564331</v>
      </c>
      <c r="F31" s="136">
        <v>0</v>
      </c>
      <c r="G31" s="136">
        <v>30099.599999999999</v>
      </c>
      <c r="H31" s="136">
        <f t="shared" si="2"/>
        <v>127.53440932564331</v>
      </c>
      <c r="I31" s="136">
        <v>31089</v>
      </c>
      <c r="J31" s="136">
        <f t="shared" si="3"/>
        <v>61188.6</v>
      </c>
      <c r="K31" s="136">
        <f t="shared" si="4"/>
        <v>259.26098547698501</v>
      </c>
    </row>
    <row r="32" spans="1:17" s="668" customFormat="1">
      <c r="A32" s="1473" t="s">
        <v>188</v>
      </c>
      <c r="B32" s="1473"/>
      <c r="C32" s="151">
        <f>SUM(C29:C31)</f>
        <v>1309908.8226299998</v>
      </c>
      <c r="D32" s="151">
        <f>SUM(D29:D31)</f>
        <v>371727.86959830002</v>
      </c>
      <c r="E32" s="150">
        <f t="shared" si="0"/>
        <v>28.378148400585221</v>
      </c>
      <c r="F32" s="151">
        <f>SUM(F29:F31)</f>
        <v>0</v>
      </c>
      <c r="G32" s="151">
        <f>SUM(G29:G31)</f>
        <v>371722.86959830002</v>
      </c>
      <c r="H32" s="150">
        <f t="shared" si="2"/>
        <v>28.377766694628775</v>
      </c>
      <c r="I32" s="151">
        <f>SUM(I29:I31)</f>
        <v>57924.05</v>
      </c>
      <c r="J32" s="150">
        <f>SUM(J29:J31)</f>
        <v>429651.91959830001</v>
      </c>
      <c r="K32" s="150">
        <f t="shared" si="4"/>
        <v>32.800139381888918</v>
      </c>
    </row>
    <row r="33" spans="1:12" s="345" customFormat="1">
      <c r="A33" s="133">
        <v>1</v>
      </c>
      <c r="B33" s="133" t="s">
        <v>119</v>
      </c>
      <c r="C33" s="346">
        <v>0</v>
      </c>
      <c r="D33" s="346">
        <v>43028.3</v>
      </c>
      <c r="E33" s="347"/>
      <c r="F33" s="346">
        <v>0</v>
      </c>
      <c r="G33" s="346">
        <f>D33+F33</f>
        <v>43028.3</v>
      </c>
      <c r="H33" s="346"/>
      <c r="I33" s="346">
        <v>0</v>
      </c>
      <c r="J33" s="136">
        <f t="shared" si="3"/>
        <v>43028.3</v>
      </c>
      <c r="K33" s="346"/>
    </row>
    <row r="34" spans="1:12" s="345" customFormat="1">
      <c r="A34" s="133">
        <v>2</v>
      </c>
      <c r="B34" s="133" t="s">
        <v>117</v>
      </c>
      <c r="C34" s="346">
        <v>0</v>
      </c>
      <c r="D34" s="346">
        <v>8505.15</v>
      </c>
      <c r="E34" s="347"/>
      <c r="F34" s="346">
        <v>0</v>
      </c>
      <c r="G34" s="346">
        <f>D34+F34</f>
        <v>8505.15</v>
      </c>
      <c r="H34" s="346"/>
      <c r="I34" s="346">
        <v>0</v>
      </c>
      <c r="J34" s="346">
        <f t="shared" si="3"/>
        <v>8505.15</v>
      </c>
      <c r="K34" s="346"/>
    </row>
    <row r="35" spans="1:12" s="925" customFormat="1">
      <c r="A35" s="152" t="s">
        <v>135</v>
      </c>
      <c r="B35" s="152" t="s">
        <v>13</v>
      </c>
      <c r="C35" s="665">
        <f>SUM(C32:C34)</f>
        <v>1309908.8226299998</v>
      </c>
      <c r="D35" s="665">
        <f>SUM(D32:D34)</f>
        <v>423261.31959830003</v>
      </c>
      <c r="E35" s="664">
        <f>D35/C35%</f>
        <v>32.312273364835221</v>
      </c>
      <c r="F35" s="665">
        <f>SUM(F32:F34)</f>
        <v>0</v>
      </c>
      <c r="G35" s="665">
        <f>SUM(G32:G34)</f>
        <v>423256.31959830003</v>
      </c>
      <c r="H35" s="664">
        <f>G35/C35%</f>
        <v>32.311891658878771</v>
      </c>
      <c r="I35" s="665">
        <f>SUM(I32:I34)</f>
        <v>57924.05</v>
      </c>
      <c r="J35" s="347">
        <f>SUM(J32:J34)</f>
        <v>481185.36959830002</v>
      </c>
      <c r="K35" s="664">
        <f>J35/C35%</f>
        <v>36.734264346138914</v>
      </c>
    </row>
    <row r="36" spans="1:12">
      <c r="A36" s="154"/>
      <c r="B36" s="155"/>
      <c r="C36" s="1474" t="s">
        <v>136</v>
      </c>
      <c r="D36" s="1474"/>
      <c r="E36" s="156"/>
      <c r="F36" s="156"/>
      <c r="G36" s="156"/>
      <c r="H36" s="156"/>
      <c r="I36" s="156"/>
      <c r="J36" s="156"/>
      <c r="K36" s="157"/>
    </row>
    <row r="37" spans="1:12">
      <c r="A37" s="152" t="s">
        <v>135</v>
      </c>
      <c r="B37" s="152" t="s">
        <v>13</v>
      </c>
      <c r="C37" s="153">
        <v>1353613.3099999996</v>
      </c>
      <c r="D37" s="153">
        <v>431961.50999999989</v>
      </c>
      <c r="E37" s="666">
        <v>31.91173629934239</v>
      </c>
      <c r="F37" s="153">
        <v>200.91</v>
      </c>
      <c r="G37" s="153">
        <v>432157.41999999993</v>
      </c>
      <c r="H37" s="666">
        <v>31.926209413528895</v>
      </c>
      <c r="I37" s="153">
        <v>74303.42</v>
      </c>
      <c r="J37" s="667">
        <v>506460.83999999991</v>
      </c>
      <c r="K37" s="150">
        <v>37.415474290807623</v>
      </c>
    </row>
    <row r="38" spans="1:12">
      <c r="A38" s="158" t="s">
        <v>189</v>
      </c>
      <c r="B38" s="1658" t="s">
        <v>190</v>
      </c>
      <c r="C38" s="1658"/>
      <c r="D38" s="1658"/>
      <c r="E38" s="1658"/>
      <c r="F38" s="1658"/>
      <c r="G38" s="1658"/>
      <c r="H38" s="1658"/>
      <c r="I38" s="1658"/>
      <c r="J38" s="158"/>
      <c r="K38" s="158"/>
    </row>
    <row r="39" spans="1:12">
      <c r="A39" s="158"/>
      <c r="B39" s="1657" t="s">
        <v>191</v>
      </c>
      <c r="C39" s="1657"/>
      <c r="D39" s="1657"/>
      <c r="E39" s="1657"/>
      <c r="F39" s="1657"/>
      <c r="G39" s="1657"/>
      <c r="H39" s="1657"/>
      <c r="I39" s="1657"/>
      <c r="J39" s="1657"/>
      <c r="K39" s="1657"/>
      <c r="L39" s="1657"/>
    </row>
  </sheetData>
  <mergeCells count="7">
    <mergeCell ref="B39:L39"/>
    <mergeCell ref="B38:I38"/>
    <mergeCell ref="A1:K1"/>
    <mergeCell ref="A2:K2"/>
    <mergeCell ref="A3:K3"/>
    <mergeCell ref="A32:B32"/>
    <mergeCell ref="C36:D36"/>
  </mergeCells>
  <pageMargins left="0.7" right="0.7" top="0.75" bottom="0.75" header="0.3" footer="0.3"/>
  <pageSetup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M1"/>
    </sheetView>
  </sheetViews>
  <sheetFormatPr defaultRowHeight="15"/>
  <cols>
    <col min="2" max="2" width="17.28515625" bestFit="1" customWidth="1"/>
    <col min="3" max="3" width="10.85546875" bestFit="1" customWidth="1"/>
    <col min="4" max="4" width="11" bestFit="1" customWidth="1"/>
    <col min="5" max="5" width="9.5703125" bestFit="1" customWidth="1"/>
    <col min="6" max="6" width="7.5703125" bestFit="1" customWidth="1"/>
    <col min="7" max="7" width="10.85546875" bestFit="1" customWidth="1"/>
    <col min="8" max="8" width="9.5703125" bestFit="1" customWidth="1"/>
    <col min="9" max="9" width="7.5703125" bestFit="1" customWidth="1"/>
    <col min="10" max="10" width="9.5703125" bestFit="1" customWidth="1"/>
    <col min="11" max="11" width="8" bestFit="1" customWidth="1"/>
    <col min="12" max="13" width="7.85546875" bestFit="1" customWidth="1"/>
  </cols>
  <sheetData>
    <row r="1" spans="1:18" ht="15.75">
      <c r="A1" s="1482">
        <v>60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</row>
    <row r="2" spans="1:18" ht="15.75">
      <c r="A2" s="1531" t="s">
        <v>207</v>
      </c>
      <c r="B2" s="1531"/>
      <c r="C2" s="1531"/>
      <c r="D2" s="1531"/>
      <c r="E2" s="1531"/>
      <c r="F2" s="1531"/>
      <c r="G2" s="1531"/>
      <c r="H2" s="1531"/>
      <c r="I2" s="1531"/>
      <c r="J2" s="1531"/>
      <c r="K2" s="1531"/>
      <c r="L2" s="1531"/>
      <c r="M2" s="1531"/>
    </row>
    <row r="3" spans="1:18" ht="15.75">
      <c r="A3" s="1531" t="s">
        <v>208</v>
      </c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</row>
    <row r="4" spans="1:18" ht="60">
      <c r="A4" s="159" t="s">
        <v>130</v>
      </c>
      <c r="B4" s="159" t="s">
        <v>131</v>
      </c>
      <c r="C4" s="160" t="s">
        <v>194</v>
      </c>
      <c r="D4" s="160" t="s">
        <v>195</v>
      </c>
      <c r="E4" s="160" t="s">
        <v>196</v>
      </c>
      <c r="F4" s="160" t="s">
        <v>197</v>
      </c>
      <c r="G4" s="160" t="s">
        <v>198</v>
      </c>
      <c r="H4" s="160" t="s">
        <v>199</v>
      </c>
      <c r="I4" s="160" t="s">
        <v>200</v>
      </c>
      <c r="J4" s="160" t="s">
        <v>201</v>
      </c>
      <c r="K4" s="160" t="s">
        <v>202</v>
      </c>
      <c r="L4" s="159" t="s">
        <v>203</v>
      </c>
      <c r="M4" s="159" t="s">
        <v>204</v>
      </c>
    </row>
    <row r="5" spans="1:18">
      <c r="A5" s="161">
        <v>1</v>
      </c>
      <c r="B5" s="290" t="s">
        <v>78</v>
      </c>
      <c r="C5" s="135">
        <v>5078.0200000000004</v>
      </c>
      <c r="D5" s="354">
        <v>269.38</v>
      </c>
      <c r="E5" s="354">
        <v>28.97</v>
      </c>
      <c r="F5" s="646">
        <f>E5/D5%</f>
        <v>10.754324745712376</v>
      </c>
      <c r="G5" s="354">
        <v>4808.74</v>
      </c>
      <c r="H5" s="646">
        <v>248.75</v>
      </c>
      <c r="I5" s="646">
        <f>H5/G5%</f>
        <v>5.1728727275752071</v>
      </c>
      <c r="J5" s="302">
        <v>1039</v>
      </c>
      <c r="K5" s="646">
        <f t="shared" ref="K5:K35" si="0">G5/C5%</f>
        <v>94.6971457379057</v>
      </c>
      <c r="L5" s="646">
        <f t="shared" ref="L5:L34" si="1">J5/G5%</f>
        <v>21.606491513369409</v>
      </c>
      <c r="M5" s="646">
        <f t="shared" ref="M5:M35" si="2">J5/C5%</f>
        <v>20.460730757263654</v>
      </c>
    </row>
    <row r="6" spans="1:18">
      <c r="A6" s="647">
        <v>2</v>
      </c>
      <c r="B6" s="514" t="s">
        <v>27</v>
      </c>
      <c r="C6" s="135">
        <v>4092.92</v>
      </c>
      <c r="D6" s="517">
        <f>347.01+1735.66</f>
        <v>2082.67</v>
      </c>
      <c r="E6" s="517">
        <v>9.19</v>
      </c>
      <c r="F6" s="517">
        <f t="shared" ref="F6:F35" si="3">E6/D6%</f>
        <v>0.44126049734235373</v>
      </c>
      <c r="G6" s="517">
        <f>1374.75+26.73</f>
        <v>1401.48</v>
      </c>
      <c r="H6" s="517">
        <v>20.03</v>
      </c>
      <c r="I6" s="646">
        <f t="shared" ref="I6:I7" si="4">H6/G6%</f>
        <v>1.4292034135342637</v>
      </c>
      <c r="J6" s="517">
        <f>23.18+18.86</f>
        <v>42.04</v>
      </c>
      <c r="K6" s="646">
        <f t="shared" si="0"/>
        <v>34.241568366838344</v>
      </c>
      <c r="L6" s="646">
        <f t="shared" si="1"/>
        <v>2.9996860461797525</v>
      </c>
      <c r="M6" s="517">
        <f t="shared" si="2"/>
        <v>1.02713954829315</v>
      </c>
    </row>
    <row r="7" spans="1:18" s="357" customFormat="1">
      <c r="A7" s="355">
        <v>3</v>
      </c>
      <c r="B7" s="356" t="s">
        <v>46</v>
      </c>
      <c r="C7" s="135">
        <v>1008</v>
      </c>
      <c r="D7" s="352">
        <f t="shared" ref="D7" si="5">C7-G7</f>
        <v>453.37</v>
      </c>
      <c r="E7" s="352">
        <v>21.3</v>
      </c>
      <c r="F7" s="354">
        <f t="shared" si="3"/>
        <v>4.6981494143856013</v>
      </c>
      <c r="G7" s="352">
        <v>554.63</v>
      </c>
      <c r="H7" s="352">
        <v>88.1</v>
      </c>
      <c r="I7" s="354">
        <f t="shared" si="4"/>
        <v>15.88446351621802</v>
      </c>
      <c r="J7" s="352">
        <v>72</v>
      </c>
      <c r="K7" s="646">
        <f t="shared" si="0"/>
        <v>55.022817460317462</v>
      </c>
      <c r="L7" s="354">
        <f t="shared" si="1"/>
        <v>12.981627391233797</v>
      </c>
      <c r="M7" s="354">
        <f t="shared" si="2"/>
        <v>7.1428571428571432</v>
      </c>
    </row>
    <row r="8" spans="1:18" s="357" customFormat="1">
      <c r="A8" s="355">
        <v>4</v>
      </c>
      <c r="B8" s="356" t="s">
        <v>32</v>
      </c>
      <c r="C8" s="139">
        <v>5190.04</v>
      </c>
      <c r="D8" s="354">
        <f>1877.54+82.5+85.38+15</f>
        <v>2060.42</v>
      </c>
      <c r="E8" s="354">
        <v>24.27</v>
      </c>
      <c r="F8" s="354">
        <f t="shared" si="3"/>
        <v>1.1779151823414642</v>
      </c>
      <c r="G8" s="354">
        <f>208.19+200.82+2620.05+20.5+80.06</f>
        <v>3129.6200000000003</v>
      </c>
      <c r="H8" s="354">
        <f>365.79+1.2+1.9</f>
        <v>368.89</v>
      </c>
      <c r="I8" s="354">
        <f t="shared" ref="I8:I35" si="6">H8/G8%</f>
        <v>11.787054019337809</v>
      </c>
      <c r="J8" s="354">
        <f>2374.6</f>
        <v>2374.6</v>
      </c>
      <c r="K8" s="646">
        <f t="shared" si="0"/>
        <v>60.300498647409277</v>
      </c>
      <c r="L8" s="354">
        <f t="shared" si="1"/>
        <v>75.875026361027849</v>
      </c>
      <c r="M8" s="354">
        <f t="shared" si="2"/>
        <v>45.75301924455303</v>
      </c>
    </row>
    <row r="9" spans="1:18" s="645" customFormat="1">
      <c r="A9" s="168">
        <v>5</v>
      </c>
      <c r="B9" s="648" t="s">
        <v>83</v>
      </c>
      <c r="C9" s="135">
        <v>1138.93</v>
      </c>
      <c r="D9" s="649">
        <f t="shared" ref="D9" si="7">C9-G9</f>
        <v>676.48</v>
      </c>
      <c r="E9" s="649">
        <v>64.989999999999995</v>
      </c>
      <c r="F9" s="649">
        <f t="shared" si="3"/>
        <v>9.6070837275307461</v>
      </c>
      <c r="G9" s="649">
        <v>462.45</v>
      </c>
      <c r="H9" s="649">
        <v>29.71</v>
      </c>
      <c r="I9" s="649">
        <f t="shared" si="6"/>
        <v>6.4244783219807546</v>
      </c>
      <c r="J9" s="649">
        <v>1.76</v>
      </c>
      <c r="K9" s="646">
        <f t="shared" si="0"/>
        <v>40.603900151896951</v>
      </c>
      <c r="L9" s="649">
        <f t="shared" si="1"/>
        <v>0.38058168450643309</v>
      </c>
      <c r="M9" s="649">
        <f t="shared" si="2"/>
        <v>0.1545310071733996</v>
      </c>
    </row>
    <row r="10" spans="1:18" s="344" customFormat="1">
      <c r="A10" s="650">
        <v>6</v>
      </c>
      <c r="B10" s="651" t="s">
        <v>85</v>
      </c>
      <c r="C10" s="143">
        <v>10500.779999999999</v>
      </c>
      <c r="D10" s="652">
        <v>1802.22</v>
      </c>
      <c r="E10" s="652">
        <v>545</v>
      </c>
      <c r="F10" s="652">
        <v>30.443015701893053</v>
      </c>
      <c r="G10" s="652">
        <v>8698.17</v>
      </c>
      <c r="H10" s="652">
        <v>3050</v>
      </c>
      <c r="I10" s="652">
        <v>35.299781951510823</v>
      </c>
      <c r="J10" s="652">
        <v>2439.7800000000002</v>
      </c>
      <c r="K10" s="646">
        <f t="shared" si="0"/>
        <v>82.833560935473372</v>
      </c>
      <c r="L10" s="652">
        <v>28.237279347428554</v>
      </c>
      <c r="M10" s="652">
        <v>23.390802559031151</v>
      </c>
    </row>
    <row r="11" spans="1:18" s="344" customFormat="1">
      <c r="A11" s="650">
        <v>7</v>
      </c>
      <c r="B11" s="651" t="s">
        <v>17</v>
      </c>
      <c r="C11" s="135">
        <v>4498.9799999999996</v>
      </c>
      <c r="D11" s="652">
        <v>1909.02</v>
      </c>
      <c r="E11" s="652">
        <v>229</v>
      </c>
      <c r="F11" s="652">
        <v>13.640289483872889</v>
      </c>
      <c r="G11" s="652">
        <v>2859.78</v>
      </c>
      <c r="H11" s="652">
        <v>336</v>
      </c>
      <c r="I11" s="652">
        <v>13.359947196399176</v>
      </c>
      <c r="J11" s="652">
        <v>1175.77</v>
      </c>
      <c r="K11" s="646">
        <f t="shared" si="0"/>
        <v>63.565074750276743</v>
      </c>
      <c r="L11" s="652">
        <v>46.750669985447203</v>
      </c>
      <c r="M11" s="652">
        <v>28.035709601962882</v>
      </c>
    </row>
    <row r="12" spans="1:18" s="357" customFormat="1">
      <c r="A12" s="653">
        <v>8</v>
      </c>
      <c r="B12" s="654" t="s">
        <v>26</v>
      </c>
      <c r="C12" s="139">
        <v>8083.5995982999993</v>
      </c>
      <c r="D12" s="655">
        <v>7019.11</v>
      </c>
      <c r="E12" s="655">
        <v>102.92</v>
      </c>
      <c r="F12" s="655">
        <v>1.1236901986122427</v>
      </c>
      <c r="G12" s="655">
        <v>1066.3800000000001</v>
      </c>
      <c r="H12" s="655">
        <v>51.94</v>
      </c>
      <c r="I12" s="655">
        <v>4.1474785377224404</v>
      </c>
      <c r="J12" s="655">
        <v>346.11</v>
      </c>
      <c r="K12" s="646">
        <f t="shared" si="0"/>
        <v>13.191895355928596</v>
      </c>
      <c r="L12" s="655">
        <v>26.474880133416718</v>
      </c>
      <c r="M12" s="655">
        <v>3.5734520902904161</v>
      </c>
    </row>
    <row r="13" spans="1:18">
      <c r="A13" s="168">
        <v>9</v>
      </c>
      <c r="B13" s="169" t="s">
        <v>11</v>
      </c>
      <c r="C13" s="139">
        <v>3977.1200000000003</v>
      </c>
      <c r="D13" s="170">
        <v>3796.3</v>
      </c>
      <c r="E13" s="170">
        <v>0</v>
      </c>
      <c r="F13" s="170">
        <f t="shared" si="3"/>
        <v>0</v>
      </c>
      <c r="G13" s="170">
        <v>260.32</v>
      </c>
      <c r="H13" s="170">
        <f>'[2]TOTAL PRIORITY'!J13</f>
        <v>0</v>
      </c>
      <c r="I13" s="170">
        <v>0</v>
      </c>
      <c r="J13" s="170">
        <v>221.51</v>
      </c>
      <c r="K13" s="646">
        <f t="shared" si="0"/>
        <v>6.5454399163213584</v>
      </c>
      <c r="L13" s="170">
        <f>J13/G13%</f>
        <v>85.091425937307932</v>
      </c>
      <c r="M13" s="170">
        <f t="shared" si="2"/>
        <v>5.5696081586675783</v>
      </c>
    </row>
    <row r="14" spans="1:18" s="344" customFormat="1">
      <c r="A14" s="168">
        <v>10</v>
      </c>
      <c r="B14" s="656" t="s">
        <v>90</v>
      </c>
      <c r="C14" s="135">
        <v>2090.77</v>
      </c>
      <c r="D14" s="352">
        <f t="shared" ref="D14:D15" si="8">C14-G14</f>
        <v>306.55999999999995</v>
      </c>
      <c r="E14" s="352">
        <v>0</v>
      </c>
      <c r="F14" s="352">
        <f t="shared" si="3"/>
        <v>0</v>
      </c>
      <c r="G14" s="352">
        <v>1784.21</v>
      </c>
      <c r="H14" s="352">
        <v>349.64</v>
      </c>
      <c r="I14" s="352">
        <f t="shared" ref="I14:I15" si="9">H14/G14%</f>
        <v>19.596347963524469</v>
      </c>
      <c r="J14" s="352">
        <v>1716.26</v>
      </c>
      <c r="K14" s="646">
        <f t="shared" si="0"/>
        <v>85.337459404908245</v>
      </c>
      <c r="L14" s="352">
        <f t="shared" ref="L14:L15" si="10">J14/G14%</f>
        <v>96.191591796929728</v>
      </c>
      <c r="M14" s="352">
        <f t="shared" si="2"/>
        <v>82.087460600639957</v>
      </c>
    </row>
    <row r="15" spans="1:18" ht="15.75">
      <c r="A15" s="102">
        <v>11</v>
      </c>
      <c r="B15" s="434" t="s">
        <v>92</v>
      </c>
      <c r="C15" s="40">
        <v>5894.1</v>
      </c>
      <c r="D15" s="352">
        <f t="shared" si="8"/>
        <v>105.15000000000055</v>
      </c>
      <c r="E15" s="353">
        <v>12.46</v>
      </c>
      <c r="F15" s="352">
        <f t="shared" si="3"/>
        <v>11.849738468853957</v>
      </c>
      <c r="G15" s="352">
        <v>5788.95</v>
      </c>
      <c r="H15" s="353">
        <v>191.35</v>
      </c>
      <c r="I15" s="352">
        <f t="shared" si="9"/>
        <v>3.3054353552889557</v>
      </c>
      <c r="J15" s="657">
        <v>1590.87</v>
      </c>
      <c r="K15" s="646">
        <f t="shared" si="0"/>
        <v>98.216012622792277</v>
      </c>
      <c r="L15" s="352">
        <f t="shared" si="10"/>
        <v>27.481149431244006</v>
      </c>
      <c r="M15" s="352">
        <f t="shared" si="2"/>
        <v>26.990889194279021</v>
      </c>
      <c r="R15" s="420"/>
    </row>
    <row r="16" spans="1:18" s="344" customFormat="1">
      <c r="A16" s="168">
        <v>12</v>
      </c>
      <c r="B16" s="656" t="s">
        <v>51</v>
      </c>
      <c r="C16" s="135">
        <v>312.58</v>
      </c>
      <c r="D16" s="352">
        <f t="shared" ref="D16:D17" si="11">C16-G16</f>
        <v>217.32999999999998</v>
      </c>
      <c r="E16" s="352">
        <v>1.95</v>
      </c>
      <c r="F16" s="352">
        <f t="shared" si="3"/>
        <v>0.89725302535314966</v>
      </c>
      <c r="G16" s="352">
        <v>95.25</v>
      </c>
      <c r="H16" s="352">
        <v>12.68</v>
      </c>
      <c r="I16" s="352">
        <f t="shared" si="6"/>
        <v>13.312335958005249</v>
      </c>
      <c r="J16" s="352">
        <v>33.5</v>
      </c>
      <c r="K16" s="646">
        <f t="shared" si="0"/>
        <v>30.472199117026044</v>
      </c>
      <c r="L16" s="352">
        <f t="shared" si="1"/>
        <v>35.170603674540679</v>
      </c>
      <c r="M16" s="352">
        <f t="shared" ref="M16:M17" si="12">J16/C16%</f>
        <v>10.717256382366115</v>
      </c>
    </row>
    <row r="17" spans="1:18" s="344" customFormat="1">
      <c r="A17" s="168">
        <v>13</v>
      </c>
      <c r="B17" s="656" t="s">
        <v>52</v>
      </c>
      <c r="C17" s="135">
        <v>339.94</v>
      </c>
      <c r="D17" s="352">
        <f t="shared" si="11"/>
        <v>250.3</v>
      </c>
      <c r="E17" s="352">
        <v>10.77</v>
      </c>
      <c r="F17" s="352">
        <f t="shared" si="3"/>
        <v>4.3028365960846982</v>
      </c>
      <c r="G17" s="352">
        <v>89.64</v>
      </c>
      <c r="H17" s="352">
        <v>12.26</v>
      </c>
      <c r="I17" s="352">
        <f t="shared" si="6"/>
        <v>13.676929941990183</v>
      </c>
      <c r="J17" s="352">
        <v>63.02</v>
      </c>
      <c r="K17" s="646">
        <f t="shared" si="0"/>
        <v>26.36935929869977</v>
      </c>
      <c r="L17" s="352">
        <f t="shared" si="1"/>
        <v>70.303435966086568</v>
      </c>
      <c r="M17" s="352">
        <f t="shared" si="12"/>
        <v>18.538565629228689</v>
      </c>
    </row>
    <row r="18" spans="1:18" s="344" customFormat="1">
      <c r="A18" s="647">
        <v>14</v>
      </c>
      <c r="B18" s="514" t="s">
        <v>28</v>
      </c>
      <c r="C18" s="138">
        <v>8023.03</v>
      </c>
      <c r="D18" s="517">
        <f>5414.69+485</f>
        <v>5899.69</v>
      </c>
      <c r="E18" s="517">
        <f>1.87+301+576.79</f>
        <v>879.66</v>
      </c>
      <c r="F18" s="517">
        <f t="shared" si="3"/>
        <v>14.910274946649739</v>
      </c>
      <c r="G18" s="517">
        <f>1452.33+981</f>
        <v>2433.33</v>
      </c>
      <c r="H18" s="517">
        <f>497+839.55</f>
        <v>1336.55</v>
      </c>
      <c r="I18" s="352">
        <f t="shared" si="6"/>
        <v>54.926787570941883</v>
      </c>
      <c r="J18" s="517">
        <f>465</f>
        <v>465</v>
      </c>
      <c r="K18" s="646">
        <f t="shared" si="0"/>
        <v>30.329314485923646</v>
      </c>
      <c r="L18" s="517">
        <f t="shared" si="1"/>
        <v>19.109615218650987</v>
      </c>
      <c r="M18" s="517">
        <f t="shared" si="2"/>
        <v>5.7958152967145828</v>
      </c>
    </row>
    <row r="19" spans="1:18" s="344" customFormat="1">
      <c r="A19" s="647">
        <v>15</v>
      </c>
      <c r="B19" s="514" t="s">
        <v>10</v>
      </c>
      <c r="C19" s="135">
        <v>228488.97</v>
      </c>
      <c r="D19" s="517">
        <v>202071.97</v>
      </c>
      <c r="E19" s="517">
        <v>2185.1799999999998</v>
      </c>
      <c r="F19" s="517">
        <f t="shared" si="3"/>
        <v>1.0813869929609732</v>
      </c>
      <c r="G19" s="517">
        <v>26417</v>
      </c>
      <c r="H19" s="517">
        <v>2377</v>
      </c>
      <c r="I19" s="517">
        <f t="shared" si="6"/>
        <v>8.9979937161676187</v>
      </c>
      <c r="J19" s="517">
        <v>5567.13</v>
      </c>
      <c r="K19" s="646">
        <f t="shared" si="0"/>
        <v>11.561608422498468</v>
      </c>
      <c r="L19" s="517">
        <f t="shared" si="1"/>
        <v>21.074043229738425</v>
      </c>
      <c r="M19" s="517">
        <f t="shared" si="2"/>
        <v>2.436498357010406</v>
      </c>
    </row>
    <row r="20" spans="1:18">
      <c r="A20" s="647">
        <v>16</v>
      </c>
      <c r="B20" s="514" t="s">
        <v>98</v>
      </c>
      <c r="C20" s="138">
        <v>1517.76</v>
      </c>
      <c r="D20" s="517">
        <f>284.75+275.53</f>
        <v>560.28</v>
      </c>
      <c r="E20" s="517">
        <v>30.35</v>
      </c>
      <c r="F20" s="517">
        <f t="shared" si="3"/>
        <v>5.4169343899478841</v>
      </c>
      <c r="G20" s="517">
        <f>473.25+484.23</f>
        <v>957.48</v>
      </c>
      <c r="H20" s="517">
        <f>149.85+35.5</f>
        <v>185.35</v>
      </c>
      <c r="I20" s="517">
        <f t="shared" si="6"/>
        <v>19.358106696745622</v>
      </c>
      <c r="J20" s="517">
        <v>165</v>
      </c>
      <c r="K20" s="646">
        <f t="shared" si="0"/>
        <v>63.085072738772929</v>
      </c>
      <c r="L20" s="517">
        <f>J20/G20%</f>
        <v>17.232735931821029</v>
      </c>
      <c r="M20" s="517">
        <f>J20/C20%</f>
        <v>10.871283997469956</v>
      </c>
    </row>
    <row r="21" spans="1:18" s="357" customFormat="1">
      <c r="A21" s="355">
        <v>17</v>
      </c>
      <c r="B21" s="356" t="s">
        <v>35</v>
      </c>
      <c r="C21" s="138">
        <v>4477.6500000000005</v>
      </c>
      <c r="D21" s="354">
        <f>38+1022+65.2+3.06</f>
        <v>1128.26</v>
      </c>
      <c r="E21" s="354">
        <f>3.5+6.59+0.7</f>
        <v>10.79</v>
      </c>
      <c r="F21" s="354">
        <f t="shared" si="3"/>
        <v>0.95633985074362282</v>
      </c>
      <c r="G21" s="354">
        <f>147.52+197.53+2869+280.4</f>
        <v>3494.4500000000003</v>
      </c>
      <c r="H21" s="354">
        <f>1.49+308+11+2.73</f>
        <v>323.22000000000003</v>
      </c>
      <c r="I21" s="354">
        <f t="shared" si="6"/>
        <v>9.2495242455894342</v>
      </c>
      <c r="J21" s="354">
        <v>631</v>
      </c>
      <c r="K21" s="646">
        <f t="shared" si="0"/>
        <v>78.042053309213529</v>
      </c>
      <c r="L21" s="354">
        <f t="shared" si="1"/>
        <v>18.057204996494438</v>
      </c>
      <c r="M21" s="354">
        <f t="shared" si="2"/>
        <v>14.09221354951816</v>
      </c>
    </row>
    <row r="22" spans="1:18" ht="15.75">
      <c r="A22" s="102">
        <v>18</v>
      </c>
      <c r="B22" s="434" t="s">
        <v>54</v>
      </c>
      <c r="C22" s="135">
        <v>8059.25</v>
      </c>
      <c r="D22" s="352">
        <f t="shared" ref="D22:D23" si="13">C22-G22</f>
        <v>363.25</v>
      </c>
      <c r="E22" s="353">
        <v>225.16</v>
      </c>
      <c r="F22" s="352">
        <v>61.996805991519352</v>
      </c>
      <c r="G22" s="352">
        <v>7696</v>
      </c>
      <c r="H22" s="353">
        <v>3888.38</v>
      </c>
      <c r="I22" s="352">
        <f t="shared" si="6"/>
        <v>50.524688149688153</v>
      </c>
      <c r="J22" s="657">
        <v>2708.35</v>
      </c>
      <c r="K22" s="646">
        <f t="shared" si="0"/>
        <v>95.492756770170914</v>
      </c>
      <c r="L22" s="352">
        <f t="shared" si="1"/>
        <v>35.191658004158008</v>
      </c>
      <c r="M22" s="352">
        <f t="shared" si="2"/>
        <v>33.60548438130099</v>
      </c>
      <c r="R22" s="420"/>
    </row>
    <row r="23" spans="1:18" ht="15.75">
      <c r="A23" s="102">
        <v>19</v>
      </c>
      <c r="B23" s="434" t="s">
        <v>102</v>
      </c>
      <c r="C23" s="135">
        <v>798.02</v>
      </c>
      <c r="D23" s="352">
        <f t="shared" si="13"/>
        <v>414.21</v>
      </c>
      <c r="E23" s="353">
        <v>17.46</v>
      </c>
      <c r="F23" s="352">
        <f t="shared" ref="F23" si="14">E23/D23%</f>
        <v>4.2152531324690372</v>
      </c>
      <c r="G23" s="352">
        <v>383.81</v>
      </c>
      <c r="H23" s="353">
        <v>29.03</v>
      </c>
      <c r="I23" s="352">
        <f t="shared" si="6"/>
        <v>7.5636382585133273</v>
      </c>
      <c r="J23" s="657">
        <v>189.71</v>
      </c>
      <c r="K23" s="646">
        <f t="shared" si="0"/>
        <v>48.09528583243528</v>
      </c>
      <c r="L23" s="352">
        <f t="shared" si="1"/>
        <v>49.42810244652302</v>
      </c>
      <c r="M23" s="352">
        <f t="shared" si="2"/>
        <v>23.772587153204181</v>
      </c>
      <c r="R23" s="420"/>
    </row>
    <row r="24" spans="1:18" s="741" customFormat="1">
      <c r="A24" s="776">
        <v>20</v>
      </c>
      <c r="B24" s="777" t="s">
        <v>104</v>
      </c>
      <c r="C24" s="135">
        <v>18893.47</v>
      </c>
      <c r="D24" s="337">
        <v>5970.6399999999994</v>
      </c>
      <c r="E24" s="778">
        <v>171.75</v>
      </c>
      <c r="F24" s="779">
        <v>2.8765760454490645</v>
      </c>
      <c r="G24" s="778">
        <v>15879.36</v>
      </c>
      <c r="H24" s="779">
        <v>1014.95</v>
      </c>
      <c r="I24" s="779">
        <v>6.3916303931644602</v>
      </c>
      <c r="J24" s="779">
        <v>9714.5</v>
      </c>
      <c r="K24" s="779">
        <v>72.674416475972549</v>
      </c>
      <c r="L24" s="779">
        <v>61.17689881708079</v>
      </c>
      <c r="M24" s="779">
        <v>44.459954233409611</v>
      </c>
      <c r="O24" s="743"/>
    </row>
    <row r="25" spans="1:18" s="344" customFormat="1">
      <c r="A25" s="902">
        <v>21</v>
      </c>
      <c r="B25" s="903" t="s">
        <v>106</v>
      </c>
      <c r="C25" s="135">
        <v>4</v>
      </c>
      <c r="D25" s="352">
        <f t="shared" ref="D25" si="15">C25-G25</f>
        <v>4</v>
      </c>
      <c r="E25" s="352">
        <v>0</v>
      </c>
      <c r="F25" s="352">
        <f t="shared" si="3"/>
        <v>0</v>
      </c>
      <c r="G25" s="352">
        <v>0</v>
      </c>
      <c r="H25" s="352">
        <v>0</v>
      </c>
      <c r="I25" s="352">
        <v>0</v>
      </c>
      <c r="J25" s="352">
        <v>0</v>
      </c>
      <c r="K25" s="646">
        <f t="shared" si="0"/>
        <v>0</v>
      </c>
      <c r="L25" s="352">
        <v>0</v>
      </c>
      <c r="M25" s="352">
        <f t="shared" si="2"/>
        <v>0</v>
      </c>
    </row>
    <row r="26" spans="1:18" s="344" customFormat="1">
      <c r="A26" s="168">
        <v>22</v>
      </c>
      <c r="B26" s="169" t="s">
        <v>108</v>
      </c>
      <c r="C26" s="135">
        <v>823.96</v>
      </c>
      <c r="D26" s="354">
        <v>131.87</v>
      </c>
      <c r="E26" s="354">
        <v>0</v>
      </c>
      <c r="F26" s="354">
        <v>0</v>
      </c>
      <c r="G26" s="354">
        <v>554.09</v>
      </c>
      <c r="H26" s="354">
        <v>0</v>
      </c>
      <c r="I26" s="354">
        <v>0</v>
      </c>
      <c r="J26" s="354">
        <v>138</v>
      </c>
      <c r="K26" s="646">
        <f t="shared" si="0"/>
        <v>67.24719646584785</v>
      </c>
      <c r="L26" s="354">
        <f>J26/G26%</f>
        <v>24.905701239870776</v>
      </c>
      <c r="M26" s="354">
        <f>J26/C26%</f>
        <v>16.748385843973008</v>
      </c>
    </row>
    <row r="27" spans="1:18" s="344" customFormat="1">
      <c r="A27" s="168">
        <v>23</v>
      </c>
      <c r="B27" s="169" t="s">
        <v>286</v>
      </c>
      <c r="C27" s="135">
        <v>0</v>
      </c>
      <c r="D27" s="352">
        <f t="shared" ref="D27" si="16">C27-G27</f>
        <v>0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646">
        <v>0</v>
      </c>
      <c r="L27" s="352">
        <v>0</v>
      </c>
      <c r="M27" s="352">
        <v>0</v>
      </c>
    </row>
    <row r="28" spans="1:18" s="344" customFormat="1">
      <c r="A28" s="168">
        <v>24</v>
      </c>
      <c r="B28" s="169" t="s">
        <v>60</v>
      </c>
      <c r="C28" s="135">
        <v>5</v>
      </c>
      <c r="D28" s="354">
        <v>5</v>
      </c>
      <c r="E28" s="354">
        <v>0</v>
      </c>
      <c r="F28" s="354">
        <v>0</v>
      </c>
      <c r="G28" s="354">
        <v>0</v>
      </c>
      <c r="H28" s="354">
        <v>0</v>
      </c>
      <c r="I28" s="354">
        <v>0</v>
      </c>
      <c r="J28" s="354">
        <v>0</v>
      </c>
      <c r="K28" s="646">
        <f t="shared" si="0"/>
        <v>0</v>
      </c>
      <c r="L28" s="354">
        <v>0</v>
      </c>
      <c r="M28" s="354">
        <v>0</v>
      </c>
    </row>
    <row r="29" spans="1:18" s="941" customFormat="1">
      <c r="A29" s="1659" t="s">
        <v>205</v>
      </c>
      <c r="B29" s="1660"/>
      <c r="C29" s="661">
        <f>SUM(C5:C28)</f>
        <v>323296.88959830004</v>
      </c>
      <c r="D29" s="671">
        <f>SUM(D5:D26)</f>
        <v>237492.47999999998</v>
      </c>
      <c r="E29" s="671">
        <f>SUM(E5:E28)</f>
        <v>4571.17</v>
      </c>
      <c r="F29" s="671">
        <f t="shared" si="3"/>
        <v>1.9247641020044088</v>
      </c>
      <c r="G29" s="671">
        <f>SUM(G5:G28)</f>
        <v>88815.14</v>
      </c>
      <c r="H29" s="671">
        <f>'[2]TOTAL PRIORITY'!J28</f>
        <v>18219.600100000003</v>
      </c>
      <c r="I29" s="671">
        <f t="shared" si="6"/>
        <v>20.514070123629828</v>
      </c>
      <c r="J29" s="671">
        <f>SUM(J5:J28)</f>
        <v>30694.91</v>
      </c>
      <c r="K29" s="671">
        <f t="shared" si="0"/>
        <v>27.471696405849681</v>
      </c>
      <c r="L29" s="671">
        <f t="shared" si="1"/>
        <v>34.560447689436735</v>
      </c>
      <c r="M29" s="671">
        <f t="shared" si="2"/>
        <v>9.4943412657445503</v>
      </c>
    </row>
    <row r="30" spans="1:18" s="344" customFormat="1">
      <c r="A30" s="647">
        <v>24</v>
      </c>
      <c r="B30" s="514" t="s">
        <v>16</v>
      </c>
      <c r="C30" s="337">
        <v>18331.38</v>
      </c>
      <c r="D30" s="517">
        <v>6953.61</v>
      </c>
      <c r="E30" s="517">
        <v>174.82</v>
      </c>
      <c r="F30" s="517">
        <f t="shared" si="3"/>
        <v>2.5140898037134671</v>
      </c>
      <c r="G30" s="517">
        <v>11378</v>
      </c>
      <c r="H30" s="517">
        <v>1203.67</v>
      </c>
      <c r="I30" s="517">
        <f t="shared" si="6"/>
        <v>10.578924239760942</v>
      </c>
      <c r="J30" s="517">
        <v>7481</v>
      </c>
      <c r="K30" s="354">
        <f t="shared" si="0"/>
        <v>62.068431291043005</v>
      </c>
      <c r="L30" s="517">
        <f t="shared" si="1"/>
        <v>65.749692388820534</v>
      </c>
      <c r="M30" s="517">
        <f t="shared" si="2"/>
        <v>40.809802644427201</v>
      </c>
    </row>
    <row r="31" spans="1:18" s="357" customFormat="1">
      <c r="A31" s="355">
        <v>25</v>
      </c>
      <c r="B31" s="356" t="s">
        <v>110</v>
      </c>
      <c r="C31" s="342">
        <v>30099.599999999999</v>
      </c>
      <c r="D31" s="354">
        <v>18358.400000000001</v>
      </c>
      <c r="E31" s="354">
        <v>11229.57</v>
      </c>
      <c r="F31" s="354">
        <f t="shared" si="3"/>
        <v>61.168565888094818</v>
      </c>
      <c r="G31" s="354">
        <v>11742.59</v>
      </c>
      <c r="H31" s="354">
        <v>7421.13</v>
      </c>
      <c r="I31" s="354">
        <f t="shared" si="6"/>
        <v>63.198408528271877</v>
      </c>
      <c r="J31" s="652">
        <v>19617.150000000001</v>
      </c>
      <c r="K31" s="354">
        <f t="shared" si="0"/>
        <v>39.012445348110944</v>
      </c>
      <c r="L31" s="354">
        <f t="shared" si="1"/>
        <v>167.0598224071521</v>
      </c>
      <c r="M31" s="354">
        <f t="shared" si="2"/>
        <v>65.174121915241415</v>
      </c>
      <c r="P31" s="344"/>
    </row>
    <row r="32" spans="1:18" s="941" customFormat="1">
      <c r="A32" s="1659" t="s">
        <v>188</v>
      </c>
      <c r="B32" s="1660"/>
      <c r="C32" s="661">
        <f>SUM(C29:C31)</f>
        <v>371727.86959830002</v>
      </c>
      <c r="D32" s="671">
        <f>SUM(D29:D31)</f>
        <v>262804.49</v>
      </c>
      <c r="E32" s="671">
        <f>SUM(E29:E31)</f>
        <v>15975.56</v>
      </c>
      <c r="F32" s="671">
        <f t="shared" si="3"/>
        <v>6.0788763540531594</v>
      </c>
      <c r="G32" s="671">
        <f>SUM(G29:G31)</f>
        <v>111935.73</v>
      </c>
      <c r="H32" s="671">
        <f>'[2]TOTAL PRIORITY'!J31</f>
        <v>26649.680100000005</v>
      </c>
      <c r="I32" s="671">
        <f t="shared" si="6"/>
        <v>23.808019208879958</v>
      </c>
      <c r="J32" s="671">
        <f>SUM(J29:J31)</f>
        <v>57793.060000000005</v>
      </c>
      <c r="K32" s="671">
        <f t="shared" si="0"/>
        <v>30.112278135336211</v>
      </c>
      <c r="L32" s="671">
        <f t="shared" si="1"/>
        <v>51.63057408032271</v>
      </c>
      <c r="M32" s="671">
        <f t="shared" si="2"/>
        <v>15.54714206993758</v>
      </c>
    </row>
    <row r="33" spans="1:13" s="357" customFormat="1">
      <c r="A33" s="355">
        <v>1</v>
      </c>
      <c r="B33" s="356" t="s">
        <v>119</v>
      </c>
      <c r="C33" s="660">
        <v>43028.3</v>
      </c>
      <c r="D33" s="354">
        <v>0</v>
      </c>
      <c r="E33" s="354">
        <v>0</v>
      </c>
      <c r="F33" s="354">
        <v>0</v>
      </c>
      <c r="G33" s="660">
        <v>43028.3</v>
      </c>
      <c r="H33" s="354">
        <f>'[2]TOTAL PRIORITY'!J33</f>
        <v>0</v>
      </c>
      <c r="I33" s="354">
        <f t="shared" si="6"/>
        <v>0</v>
      </c>
      <c r="J33" s="354">
        <v>0</v>
      </c>
      <c r="K33" s="354">
        <f t="shared" si="0"/>
        <v>100</v>
      </c>
      <c r="L33" s="354">
        <f t="shared" si="1"/>
        <v>0</v>
      </c>
      <c r="M33" s="354">
        <f t="shared" si="2"/>
        <v>0</v>
      </c>
    </row>
    <row r="34" spans="1:13" s="357" customFormat="1">
      <c r="A34" s="355">
        <v>2</v>
      </c>
      <c r="B34" s="356" t="s">
        <v>117</v>
      </c>
      <c r="C34" s="342">
        <v>8505.15</v>
      </c>
      <c r="D34" s="354">
        <f>C34-G34</f>
        <v>0</v>
      </c>
      <c r="E34" s="354">
        <v>0</v>
      </c>
      <c r="F34" s="354">
        <v>0</v>
      </c>
      <c r="G34" s="342">
        <v>8505.15</v>
      </c>
      <c r="H34" s="354">
        <v>0</v>
      </c>
      <c r="I34" s="354">
        <f t="shared" si="6"/>
        <v>0</v>
      </c>
      <c r="J34" s="354">
        <v>0</v>
      </c>
      <c r="K34" s="354">
        <f t="shared" si="0"/>
        <v>100.00000000000001</v>
      </c>
      <c r="L34" s="354">
        <f t="shared" si="1"/>
        <v>0</v>
      </c>
      <c r="M34" s="354">
        <f t="shared" si="2"/>
        <v>0</v>
      </c>
    </row>
    <row r="35" spans="1:13" s="357" customFormat="1">
      <c r="A35" s="1659" t="s">
        <v>206</v>
      </c>
      <c r="B35" s="1660"/>
      <c r="C35" s="661">
        <f>SUM(C32:C34)</f>
        <v>423261.31959830003</v>
      </c>
      <c r="D35" s="671">
        <f>SUM(D32:D34)</f>
        <v>262804.49</v>
      </c>
      <c r="E35" s="671">
        <f>SUM(E32:E34)</f>
        <v>15975.56</v>
      </c>
      <c r="F35" s="671">
        <f t="shared" si="3"/>
        <v>6.0788763540531594</v>
      </c>
      <c r="G35" s="671">
        <f>SUM(G32:G34)</f>
        <v>163469.18</v>
      </c>
      <c r="H35" s="671">
        <f>'[2]TOTAL PRIORITY'!J34</f>
        <v>26649.680100000005</v>
      </c>
      <c r="I35" s="671">
        <f t="shared" si="6"/>
        <v>16.302571591782627</v>
      </c>
      <c r="J35" s="671">
        <f>SUM(J32:J34)</f>
        <v>57793.060000000005</v>
      </c>
      <c r="K35" s="671">
        <f t="shared" si="0"/>
        <v>38.621336850516343</v>
      </c>
      <c r="L35" s="671">
        <f>SUM(L32:L34)</f>
        <v>51.63057408032271</v>
      </c>
      <c r="M35" s="671">
        <f t="shared" si="2"/>
        <v>13.654226673689207</v>
      </c>
    </row>
    <row r="36" spans="1:13" s="344" customFormat="1">
      <c r="A36" s="713"/>
      <c r="B36" s="825" t="s">
        <v>136</v>
      </c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</row>
    <row r="37" spans="1:13">
      <c r="A37" s="1476" t="s">
        <v>206</v>
      </c>
      <c r="B37" s="1477"/>
      <c r="C37" s="670">
        <v>431961.50999999989</v>
      </c>
      <c r="D37" s="827">
        <v>262729.28999999998</v>
      </c>
      <c r="E37" s="827">
        <v>15154.329999999998</v>
      </c>
      <c r="F37" s="828">
        <v>5.7680397948778372</v>
      </c>
      <c r="G37" s="827">
        <v>169232.22</v>
      </c>
      <c r="H37" s="828">
        <v>26671.31</v>
      </c>
      <c r="I37" s="828">
        <v>15.760184437691594</v>
      </c>
      <c r="J37" s="828">
        <v>73648.560000000012</v>
      </c>
      <c r="K37" s="828">
        <v>39.177615616724751</v>
      </c>
      <c r="L37" s="828">
        <v>63.957674041873169</v>
      </c>
      <c r="M37" s="828">
        <v>17.049796867318115</v>
      </c>
    </row>
  </sheetData>
  <mergeCells count="7">
    <mergeCell ref="A37:B37"/>
    <mergeCell ref="A35:B35"/>
    <mergeCell ref="A1:M1"/>
    <mergeCell ref="A2:M2"/>
    <mergeCell ref="A3:M3"/>
    <mergeCell ref="A29:B29"/>
    <mergeCell ref="A32:B32"/>
  </mergeCells>
  <printOptions gridLines="1"/>
  <pageMargins left="0.7" right="0.7" top="0.75" bottom="0.75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G6" sqref="G6"/>
    </sheetView>
  </sheetViews>
  <sheetFormatPr defaultRowHeight="15"/>
  <cols>
    <col min="2" max="2" width="34.85546875" customWidth="1"/>
    <col min="3" max="3" width="18.7109375" customWidth="1"/>
    <col min="4" max="4" width="24.42578125" customWidth="1"/>
    <col min="5" max="5" width="12.28515625" customWidth="1"/>
  </cols>
  <sheetData>
    <row r="1" spans="1:5" ht="19.5">
      <c r="A1" s="1428">
        <v>2</v>
      </c>
      <c r="B1" s="1428"/>
      <c r="C1" s="1428"/>
      <c r="D1" s="1428"/>
      <c r="E1" s="1428"/>
    </row>
    <row r="3" spans="1:5" ht="18" customHeight="1">
      <c r="A3" s="1429" t="s">
        <v>415</v>
      </c>
      <c r="B3" s="1429"/>
      <c r="C3" s="1429"/>
      <c r="D3" s="1429"/>
      <c r="E3" s="1429"/>
    </row>
    <row r="4" spans="1:5" ht="30">
      <c r="A4" s="312" t="s">
        <v>371</v>
      </c>
      <c r="B4" s="312" t="s">
        <v>416</v>
      </c>
      <c r="C4" s="312" t="s">
        <v>417</v>
      </c>
      <c r="D4" s="312" t="s">
        <v>418</v>
      </c>
      <c r="E4" s="312" t="s">
        <v>419</v>
      </c>
    </row>
    <row r="5" spans="1:5">
      <c r="A5" s="872">
        <v>1</v>
      </c>
      <c r="B5" s="872" t="s">
        <v>420</v>
      </c>
      <c r="C5" s="872" t="s">
        <v>421</v>
      </c>
      <c r="D5" s="872" t="s">
        <v>422</v>
      </c>
      <c r="E5" s="314">
        <v>83743</v>
      </c>
    </row>
    <row r="6" spans="1:5">
      <c r="A6" s="872">
        <v>2</v>
      </c>
      <c r="B6" s="872" t="s">
        <v>403</v>
      </c>
      <c r="C6" s="872" t="s">
        <v>421</v>
      </c>
      <c r="D6" s="872" t="s">
        <v>423</v>
      </c>
      <c r="E6" s="314">
        <v>1383727</v>
      </c>
    </row>
    <row r="7" spans="1:5">
      <c r="A7" s="872">
        <v>3</v>
      </c>
      <c r="B7" s="872" t="s">
        <v>424</v>
      </c>
      <c r="C7" s="872" t="s">
        <v>425</v>
      </c>
      <c r="D7" s="872" t="s">
        <v>426</v>
      </c>
      <c r="E7" s="872">
        <v>17</v>
      </c>
    </row>
    <row r="8" spans="1:5">
      <c r="A8" s="872">
        <v>4</v>
      </c>
      <c r="B8" s="872" t="s">
        <v>427</v>
      </c>
      <c r="C8" s="872" t="s">
        <v>425</v>
      </c>
      <c r="D8" s="872" t="s">
        <v>428</v>
      </c>
      <c r="E8" s="872">
        <v>938</v>
      </c>
    </row>
    <row r="9" spans="1:5" ht="27">
      <c r="A9" s="872">
        <v>5</v>
      </c>
      <c r="B9" s="872" t="s">
        <v>429</v>
      </c>
      <c r="C9" s="872" t="s">
        <v>425</v>
      </c>
      <c r="D9" s="872" t="s">
        <v>430</v>
      </c>
      <c r="E9" s="872">
        <v>22.94</v>
      </c>
    </row>
    <row r="10" spans="1:5" ht="27">
      <c r="A10" s="872">
        <v>6</v>
      </c>
      <c r="B10" s="872" t="s">
        <v>431</v>
      </c>
      <c r="C10" s="872" t="s">
        <v>432</v>
      </c>
      <c r="D10" s="872" t="s">
        <v>430</v>
      </c>
      <c r="E10" s="872">
        <v>26.03</v>
      </c>
    </row>
    <row r="11" spans="1:5" ht="40.5">
      <c r="A11" s="872">
        <v>7</v>
      </c>
      <c r="B11" s="872" t="s">
        <v>433</v>
      </c>
      <c r="C11" s="872" t="s">
        <v>434</v>
      </c>
      <c r="D11" s="872" t="s">
        <v>430</v>
      </c>
      <c r="E11" s="315">
        <v>38.33</v>
      </c>
    </row>
    <row r="12" spans="1:5">
      <c r="A12" s="1425">
        <v>8</v>
      </c>
      <c r="B12" s="872" t="s">
        <v>435</v>
      </c>
      <c r="C12" s="1425" t="s">
        <v>421</v>
      </c>
      <c r="D12" s="1425" t="s">
        <v>430</v>
      </c>
      <c r="E12" s="872" t="s">
        <v>436</v>
      </c>
    </row>
    <row r="13" spans="1:5">
      <c r="A13" s="1426"/>
      <c r="B13" s="872" t="s">
        <v>437</v>
      </c>
      <c r="C13" s="1426"/>
      <c r="D13" s="1426"/>
      <c r="E13" s="872" t="s">
        <v>438</v>
      </c>
    </row>
    <row r="14" spans="1:5">
      <c r="A14" s="1427"/>
      <c r="B14" s="872" t="s">
        <v>439</v>
      </c>
      <c r="C14" s="1427"/>
      <c r="D14" s="1427"/>
      <c r="E14" s="872" t="s">
        <v>440</v>
      </c>
    </row>
    <row r="15" spans="1:5" ht="25.5">
      <c r="A15" s="1425">
        <v>9</v>
      </c>
      <c r="B15" s="316" t="s">
        <v>441</v>
      </c>
      <c r="C15" s="1425" t="s">
        <v>442</v>
      </c>
      <c r="D15" s="1425" t="s">
        <v>443</v>
      </c>
      <c r="E15" s="317"/>
    </row>
    <row r="16" spans="1:5">
      <c r="A16" s="1426"/>
      <c r="B16" s="872" t="s">
        <v>444</v>
      </c>
      <c r="C16" s="1426"/>
      <c r="D16" s="1426"/>
      <c r="E16" s="872">
        <v>7151.25</v>
      </c>
    </row>
    <row r="17" spans="1:5">
      <c r="A17" s="1427"/>
      <c r="B17" s="872" t="s">
        <v>445</v>
      </c>
      <c r="C17" s="1427"/>
      <c r="D17" s="1427"/>
      <c r="E17" s="872">
        <v>5496.81</v>
      </c>
    </row>
    <row r="18" spans="1:5" ht="25.5">
      <c r="A18" s="1425">
        <v>10</v>
      </c>
      <c r="B18" s="316" t="s">
        <v>446</v>
      </c>
      <c r="C18" s="1425" t="s">
        <v>442</v>
      </c>
      <c r="D18" s="1425" t="s">
        <v>443</v>
      </c>
      <c r="E18" s="872"/>
    </row>
    <row r="19" spans="1:5">
      <c r="A19" s="1426"/>
      <c r="B19" s="872" t="s">
        <v>444</v>
      </c>
      <c r="C19" s="1426"/>
      <c r="D19" s="1426"/>
      <c r="E19" s="872">
        <v>6334.61</v>
      </c>
    </row>
    <row r="20" spans="1:5">
      <c r="A20" s="1427"/>
      <c r="B20" s="872" t="s">
        <v>445</v>
      </c>
      <c r="C20" s="1427"/>
      <c r="D20" s="1427"/>
      <c r="E20" s="872">
        <v>4871.3999999999996</v>
      </c>
    </row>
    <row r="21" spans="1:5">
      <c r="A21" s="1425">
        <v>11</v>
      </c>
      <c r="B21" s="316" t="s">
        <v>447</v>
      </c>
      <c r="C21" s="1425" t="s">
        <v>442</v>
      </c>
      <c r="D21" s="1425" t="s">
        <v>448</v>
      </c>
      <c r="E21" s="872"/>
    </row>
    <row r="22" spans="1:5">
      <c r="A22" s="1426"/>
      <c r="B22" s="872" t="s">
        <v>444</v>
      </c>
      <c r="C22" s="1426"/>
      <c r="D22" s="1426"/>
      <c r="E22" s="872" t="s">
        <v>449</v>
      </c>
    </row>
    <row r="23" spans="1:5">
      <c r="A23" s="1427"/>
      <c r="B23" s="872" t="s">
        <v>445</v>
      </c>
      <c r="C23" s="1427"/>
      <c r="D23" s="1427"/>
      <c r="E23" s="872">
        <v>39897</v>
      </c>
    </row>
    <row r="24" spans="1:5" ht="40.5">
      <c r="A24" s="872">
        <v>12</v>
      </c>
      <c r="B24" s="872" t="s">
        <v>450</v>
      </c>
      <c r="C24" s="872" t="s">
        <v>451</v>
      </c>
      <c r="D24" s="872" t="s">
        <v>452</v>
      </c>
      <c r="E24" s="317"/>
    </row>
    <row r="25" spans="1:5">
      <c r="A25" s="872">
        <v>13</v>
      </c>
      <c r="B25" s="872" t="s">
        <v>453</v>
      </c>
      <c r="C25" s="872" t="s">
        <v>454</v>
      </c>
      <c r="D25" s="872" t="s">
        <v>455</v>
      </c>
      <c r="E25" s="872"/>
    </row>
    <row r="26" spans="1:5">
      <c r="A26" s="872">
        <v>14</v>
      </c>
      <c r="B26" s="872" t="s">
        <v>456</v>
      </c>
      <c r="C26" s="872" t="s">
        <v>425</v>
      </c>
      <c r="D26" s="872" t="s">
        <v>455</v>
      </c>
      <c r="E26" s="872"/>
    </row>
    <row r="27" spans="1:5" ht="27">
      <c r="A27" s="872">
        <v>15</v>
      </c>
      <c r="B27" s="872" t="s">
        <v>457</v>
      </c>
      <c r="C27" s="872" t="s">
        <v>451</v>
      </c>
      <c r="D27" s="872" t="s">
        <v>452</v>
      </c>
      <c r="E27" s="317"/>
    </row>
    <row r="28" spans="1:5">
      <c r="A28" s="872">
        <v>16</v>
      </c>
      <c r="B28" s="872" t="s">
        <v>458</v>
      </c>
      <c r="C28" s="872" t="s">
        <v>442</v>
      </c>
      <c r="D28" s="872" t="s">
        <v>282</v>
      </c>
      <c r="E28" s="872">
        <v>21</v>
      </c>
    </row>
    <row r="29" spans="1:5" ht="27">
      <c r="A29" s="872">
        <v>17</v>
      </c>
      <c r="B29" s="872" t="s">
        <v>459</v>
      </c>
      <c r="C29" s="872" t="s">
        <v>460</v>
      </c>
      <c r="D29" s="872" t="s">
        <v>461</v>
      </c>
      <c r="E29" s="872">
        <v>9</v>
      </c>
    </row>
    <row r="30" spans="1:5">
      <c r="A30" s="872">
        <v>18</v>
      </c>
      <c r="B30" s="872" t="s">
        <v>462</v>
      </c>
      <c r="C30" s="872" t="s">
        <v>463</v>
      </c>
      <c r="D30" s="872" t="s">
        <v>464</v>
      </c>
      <c r="E30" s="872">
        <v>39</v>
      </c>
    </row>
    <row r="31" spans="1:5" ht="17.25">
      <c r="A31" s="872">
        <v>19</v>
      </c>
      <c r="B31" s="872" t="s">
        <v>465</v>
      </c>
      <c r="C31" s="872" t="s">
        <v>425</v>
      </c>
      <c r="D31" s="872" t="s">
        <v>425</v>
      </c>
      <c r="E31" s="317"/>
    </row>
    <row r="32" spans="1:5" ht="17.25">
      <c r="A32" s="313" t="s">
        <v>466</v>
      </c>
      <c r="B32" s="313" t="s">
        <v>467</v>
      </c>
      <c r="C32" s="313" t="s">
        <v>425</v>
      </c>
      <c r="D32" s="313" t="s">
        <v>425</v>
      </c>
      <c r="E32" s="317"/>
    </row>
  </sheetData>
  <mergeCells count="14">
    <mergeCell ref="A18:A20"/>
    <mergeCell ref="C18:C20"/>
    <mergeCell ref="D18:D20"/>
    <mergeCell ref="A21:A23"/>
    <mergeCell ref="C21:C23"/>
    <mergeCell ref="D21:D23"/>
    <mergeCell ref="A15:A17"/>
    <mergeCell ref="C15:C17"/>
    <mergeCell ref="D15:D17"/>
    <mergeCell ref="A1:E1"/>
    <mergeCell ref="A3:E3"/>
    <mergeCell ref="A12:A14"/>
    <mergeCell ref="C12:C14"/>
    <mergeCell ref="D12:D14"/>
  </mergeCells>
  <printOptions gridLines="1"/>
  <pageMargins left="0.7" right="0.7" top="0.75" bottom="0.75" header="0.3" footer="0.3"/>
  <pageSetup scale="85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sqref="A1:L1"/>
    </sheetView>
  </sheetViews>
  <sheetFormatPr defaultRowHeight="15"/>
  <cols>
    <col min="1" max="1" width="11.7109375" bestFit="1" customWidth="1"/>
    <col min="2" max="2" width="9.28515625" bestFit="1" customWidth="1"/>
    <col min="3" max="3" width="6.28515625" bestFit="1" customWidth="1"/>
    <col min="4" max="4" width="9.5703125" bestFit="1" customWidth="1"/>
    <col min="5" max="5" width="8.5703125" bestFit="1" customWidth="1"/>
    <col min="6" max="7" width="8.42578125" bestFit="1" customWidth="1"/>
    <col min="8" max="9" width="8.7109375" bestFit="1" customWidth="1"/>
    <col min="10" max="10" width="8.5703125" bestFit="1" customWidth="1"/>
    <col min="11" max="11" width="6.85546875" bestFit="1" customWidth="1"/>
    <col min="12" max="12" width="8.5703125" bestFit="1" customWidth="1"/>
  </cols>
  <sheetData>
    <row r="1" spans="1:15" ht="15.75">
      <c r="A1" s="1482">
        <v>61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</row>
    <row r="2" spans="1:15" ht="15.75">
      <c r="A2" s="1483" t="s">
        <v>220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</row>
    <row r="3" spans="1:15">
      <c r="A3" s="1484" t="s">
        <v>221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</row>
    <row r="4" spans="1:15" ht="38.25">
      <c r="A4" s="173" t="s">
        <v>130</v>
      </c>
      <c r="B4" s="174" t="s">
        <v>131</v>
      </c>
      <c r="C4" s="173" t="s">
        <v>209</v>
      </c>
      <c r="D4" s="173" t="s">
        <v>210</v>
      </c>
      <c r="E4" s="173" t="s">
        <v>211</v>
      </c>
      <c r="F4" s="173" t="s">
        <v>212</v>
      </c>
      <c r="G4" s="173" t="s">
        <v>213</v>
      </c>
      <c r="H4" s="173" t="s">
        <v>214</v>
      </c>
      <c r="I4" s="173" t="s">
        <v>215</v>
      </c>
      <c r="J4" s="173" t="s">
        <v>216</v>
      </c>
      <c r="K4" s="173" t="s">
        <v>217</v>
      </c>
      <c r="L4" s="173" t="s">
        <v>218</v>
      </c>
    </row>
    <row r="5" spans="1:15">
      <c r="A5" s="319">
        <v>1</v>
      </c>
      <c r="B5" s="320" t="s">
        <v>78</v>
      </c>
      <c r="C5" s="321">
        <f>176+9</f>
        <v>185</v>
      </c>
      <c r="D5" s="354">
        <v>4808.74</v>
      </c>
      <c r="E5" s="322">
        <v>390</v>
      </c>
      <c r="F5" s="322">
        <v>345</v>
      </c>
      <c r="G5" s="322">
        <f t="shared" ref="G5:G31" si="0">F5/E5%</f>
        <v>88.461538461538467</v>
      </c>
      <c r="H5" s="323">
        <f>E5-F5</f>
        <v>45</v>
      </c>
      <c r="I5" s="323">
        <f t="shared" ref="I5:I32" si="1">H5/E5%</f>
        <v>11.538461538461538</v>
      </c>
      <c r="J5" s="322">
        <v>277.72000000000003</v>
      </c>
      <c r="K5" s="225">
        <f t="shared" ref="K5:K31" si="2">J5/D5%</f>
        <v>5.7753174428228613</v>
      </c>
      <c r="L5" s="322">
        <v>82</v>
      </c>
    </row>
    <row r="6" spans="1:15">
      <c r="A6" s="324">
        <v>2</v>
      </c>
      <c r="B6" s="338" t="s">
        <v>27</v>
      </c>
      <c r="C6" s="339">
        <f>42+21</f>
        <v>63</v>
      </c>
      <c r="D6" s="517">
        <f>1374.75+26.73</f>
        <v>1401.48</v>
      </c>
      <c r="E6" s="340">
        <f>173.46+0.1</f>
        <v>173.56</v>
      </c>
      <c r="F6" s="340">
        <v>173.13200000000001</v>
      </c>
      <c r="G6" s="341">
        <f t="shared" si="0"/>
        <v>99.753399400783593</v>
      </c>
      <c r="H6" s="340">
        <f t="shared" ref="H6:H28" si="3">E6-F6</f>
        <v>0.42799999999999727</v>
      </c>
      <c r="I6" s="340">
        <f>H6/E6%</f>
        <v>0.24660059921640773</v>
      </c>
      <c r="J6" s="340">
        <v>27.6</v>
      </c>
      <c r="K6" s="340">
        <f t="shared" si="2"/>
        <v>1.969346690641322</v>
      </c>
      <c r="L6" s="340">
        <v>0</v>
      </c>
    </row>
    <row r="7" spans="1:15" s="344" customFormat="1">
      <c r="A7" s="324">
        <v>3</v>
      </c>
      <c r="B7" s="367" t="s">
        <v>46</v>
      </c>
      <c r="C7" s="366">
        <v>244</v>
      </c>
      <c r="D7" s="352">
        <v>554.63</v>
      </c>
      <c r="E7" s="360">
        <v>218</v>
      </c>
      <c r="F7" s="360">
        <v>173.18</v>
      </c>
      <c r="G7" s="360">
        <f t="shared" si="0"/>
        <v>79.440366972477065</v>
      </c>
      <c r="H7" s="368">
        <f t="shared" si="3"/>
        <v>44.819999999999993</v>
      </c>
      <c r="I7" s="368">
        <f t="shared" ref="I7" si="4">H7/E7%</f>
        <v>20.559633027522931</v>
      </c>
      <c r="J7" s="352">
        <v>88.1</v>
      </c>
      <c r="K7" s="369">
        <f t="shared" si="2"/>
        <v>15.88446351621802</v>
      </c>
      <c r="L7" s="360">
        <v>64</v>
      </c>
      <c r="O7"/>
    </row>
    <row r="8" spans="1:15" s="357" customFormat="1">
      <c r="A8" s="324">
        <v>4</v>
      </c>
      <c r="B8" s="325" t="s">
        <v>32</v>
      </c>
      <c r="C8" s="326">
        <v>1196</v>
      </c>
      <c r="D8" s="354">
        <f>208.19+200.82+2620.05+20.5+80.06</f>
        <v>3129.6200000000003</v>
      </c>
      <c r="E8" s="327">
        <v>1270.5999999999999</v>
      </c>
      <c r="F8" s="327">
        <v>618</v>
      </c>
      <c r="G8" s="327">
        <f t="shared" si="0"/>
        <v>48.638438532976551</v>
      </c>
      <c r="H8" s="327">
        <f t="shared" si="3"/>
        <v>652.59999999999991</v>
      </c>
      <c r="I8" s="327">
        <f t="shared" si="1"/>
        <v>51.361561467023449</v>
      </c>
      <c r="J8" s="327">
        <v>433.46</v>
      </c>
      <c r="K8" s="327">
        <f t="shared" si="2"/>
        <v>13.850243799566719</v>
      </c>
      <c r="L8" s="327">
        <v>16.399999999999999</v>
      </c>
    </row>
    <row r="9" spans="1:15" s="344" customFormat="1">
      <c r="A9" s="324">
        <v>5</v>
      </c>
      <c r="B9" s="367" t="s">
        <v>83</v>
      </c>
      <c r="C9" s="366">
        <v>75</v>
      </c>
      <c r="D9" s="649">
        <v>462.45</v>
      </c>
      <c r="E9" s="364">
        <v>0</v>
      </c>
      <c r="F9" s="364">
        <v>0</v>
      </c>
      <c r="G9" s="360">
        <v>0</v>
      </c>
      <c r="H9" s="368">
        <f t="shared" si="3"/>
        <v>0</v>
      </c>
      <c r="I9" s="368">
        <v>0</v>
      </c>
      <c r="J9" s="352">
        <v>0</v>
      </c>
      <c r="K9" s="369">
        <f t="shared" si="2"/>
        <v>0</v>
      </c>
      <c r="L9" s="364">
        <v>62.8</v>
      </c>
      <c r="O9"/>
    </row>
    <row r="10" spans="1:15" s="741" customFormat="1">
      <c r="A10" s="751">
        <v>6</v>
      </c>
      <c r="B10" s="752" t="s">
        <v>85</v>
      </c>
      <c r="C10" s="753">
        <v>1513</v>
      </c>
      <c r="D10" s="652">
        <v>8698.17</v>
      </c>
      <c r="E10" s="754">
        <v>1037.7</v>
      </c>
      <c r="F10" s="755">
        <v>260.77</v>
      </c>
      <c r="G10" s="176">
        <f t="shared" ref="G10" si="5">F10/E10%</f>
        <v>25.129613568468727</v>
      </c>
      <c r="H10" s="177">
        <f t="shared" si="3"/>
        <v>776.93000000000006</v>
      </c>
      <c r="I10" s="177">
        <f t="shared" ref="I10" si="6">H10/E10%</f>
        <v>74.870386431531273</v>
      </c>
      <c r="J10" s="176">
        <v>2927.89</v>
      </c>
      <c r="K10" s="756">
        <f t="shared" si="2"/>
        <v>33.660988460791174</v>
      </c>
      <c r="L10" s="176">
        <v>707.03</v>
      </c>
    </row>
    <row r="11" spans="1:15" s="741" customFormat="1">
      <c r="A11" s="751">
        <v>7</v>
      </c>
      <c r="B11" s="752" t="s">
        <v>17</v>
      </c>
      <c r="C11" s="753">
        <v>2105</v>
      </c>
      <c r="D11" s="652">
        <v>2859.78</v>
      </c>
      <c r="E11" s="754">
        <v>705.6</v>
      </c>
      <c r="F11" s="755">
        <v>117.05</v>
      </c>
      <c r="G11" s="176">
        <f t="shared" si="0"/>
        <v>16.588718820861679</v>
      </c>
      <c r="H11" s="177">
        <f t="shared" si="3"/>
        <v>588.55000000000007</v>
      </c>
      <c r="I11" s="177">
        <f t="shared" si="1"/>
        <v>83.411281179138328</v>
      </c>
      <c r="J11" s="176">
        <v>222.54</v>
      </c>
      <c r="K11" s="756">
        <f t="shared" si="2"/>
        <v>7.7817174747707858</v>
      </c>
      <c r="L11" s="176">
        <v>0</v>
      </c>
    </row>
    <row r="12" spans="1:15" s="357" customFormat="1">
      <c r="A12" s="324">
        <v>8</v>
      </c>
      <c r="B12" s="325" t="s">
        <v>26</v>
      </c>
      <c r="C12" s="326">
        <v>159</v>
      </c>
      <c r="D12" s="655">
        <v>1066.3800000000001</v>
      </c>
      <c r="E12" s="327">
        <v>62.64</v>
      </c>
      <c r="F12" s="327">
        <v>56.83</v>
      </c>
      <c r="G12" s="327">
        <f t="shared" si="0"/>
        <v>90.724776500638569</v>
      </c>
      <c r="H12" s="327">
        <f t="shared" si="3"/>
        <v>5.8100000000000023</v>
      </c>
      <c r="I12" s="327">
        <f t="shared" si="1"/>
        <v>9.2752234993614344</v>
      </c>
      <c r="J12" s="327">
        <v>51.95</v>
      </c>
      <c r="K12" s="327">
        <f t="shared" si="2"/>
        <v>4.8716217483448672</v>
      </c>
      <c r="L12" s="327">
        <v>536.66</v>
      </c>
    </row>
    <row r="13" spans="1:15">
      <c r="A13" s="324">
        <v>9</v>
      </c>
      <c r="B13" s="325" t="s">
        <v>11</v>
      </c>
      <c r="C13" s="326">
        <v>16</v>
      </c>
      <c r="D13" s="170">
        <v>260.32</v>
      </c>
      <c r="E13" s="327">
        <v>0</v>
      </c>
      <c r="F13" s="327">
        <v>0</v>
      </c>
      <c r="G13" s="327">
        <v>0</v>
      </c>
      <c r="H13" s="327">
        <f t="shared" si="3"/>
        <v>0</v>
      </c>
      <c r="I13" s="327">
        <v>0</v>
      </c>
      <c r="J13" s="327">
        <f>[2]AGRI!J13+[2]INDSTRY!J13+[2]SERV!J13</f>
        <v>0</v>
      </c>
      <c r="K13" s="327">
        <f t="shared" si="2"/>
        <v>0</v>
      </c>
      <c r="L13" s="327">
        <v>200.19</v>
      </c>
    </row>
    <row r="14" spans="1:15" s="344" customFormat="1">
      <c r="A14" s="324">
        <v>10</v>
      </c>
      <c r="B14" s="367" t="s">
        <v>90</v>
      </c>
      <c r="C14" s="366">
        <v>228</v>
      </c>
      <c r="D14" s="352">
        <v>1784.21</v>
      </c>
      <c r="E14" s="364">
        <v>633.28</v>
      </c>
      <c r="F14" s="364">
        <v>12</v>
      </c>
      <c r="G14" s="360">
        <f t="shared" ref="G14:G17" si="7">F14/E14%</f>
        <v>1.8948964123294594</v>
      </c>
      <c r="H14" s="368">
        <f t="shared" si="3"/>
        <v>621.28</v>
      </c>
      <c r="I14" s="368">
        <f t="shared" ref="I14:I17" si="8">H14/E14%</f>
        <v>98.105103587670541</v>
      </c>
      <c r="J14" s="352">
        <v>349.64</v>
      </c>
      <c r="K14" s="369">
        <f t="shared" si="2"/>
        <v>19.596347963524469</v>
      </c>
      <c r="L14" s="364">
        <v>40.950000000000003</v>
      </c>
    </row>
    <row r="15" spans="1:15" s="344" customFormat="1">
      <c r="A15" s="324">
        <v>11</v>
      </c>
      <c r="B15" s="367" t="s">
        <v>92</v>
      </c>
      <c r="C15" s="366">
        <v>295</v>
      </c>
      <c r="D15" s="352">
        <v>5788.95</v>
      </c>
      <c r="E15" s="364">
        <v>500</v>
      </c>
      <c r="F15" s="364">
        <v>2.4500000000000002</v>
      </c>
      <c r="G15" s="360">
        <f t="shared" si="7"/>
        <v>0.49000000000000005</v>
      </c>
      <c r="H15" s="368">
        <f t="shared" si="3"/>
        <v>497.55</v>
      </c>
      <c r="I15" s="368">
        <f t="shared" si="8"/>
        <v>99.51</v>
      </c>
      <c r="J15" s="352">
        <v>90.68</v>
      </c>
      <c r="K15" s="369">
        <f t="shared" si="2"/>
        <v>1.5664326000397311</v>
      </c>
      <c r="L15" s="364">
        <v>590.20000000000005</v>
      </c>
    </row>
    <row r="16" spans="1:15" s="344" customFormat="1">
      <c r="A16" s="324">
        <v>12</v>
      </c>
      <c r="B16" s="367" t="s">
        <v>51</v>
      </c>
      <c r="C16" s="366">
        <v>43</v>
      </c>
      <c r="D16" s="352">
        <v>95.25</v>
      </c>
      <c r="E16" s="364">
        <v>11.99</v>
      </c>
      <c r="F16" s="364">
        <v>0.2</v>
      </c>
      <c r="G16" s="360">
        <f t="shared" si="7"/>
        <v>1.6680567139282736</v>
      </c>
      <c r="H16" s="368">
        <f t="shared" si="3"/>
        <v>11.790000000000001</v>
      </c>
      <c r="I16" s="368">
        <f t="shared" si="8"/>
        <v>98.331943286071734</v>
      </c>
      <c r="J16" s="352">
        <v>12.68</v>
      </c>
      <c r="K16" s="369">
        <f t="shared" si="2"/>
        <v>13.312335958005249</v>
      </c>
      <c r="L16" s="364">
        <v>44.21</v>
      </c>
    </row>
    <row r="17" spans="1:12" s="344" customFormat="1">
      <c r="A17" s="324">
        <v>13</v>
      </c>
      <c r="B17" s="367" t="s">
        <v>52</v>
      </c>
      <c r="C17" s="366">
        <v>47</v>
      </c>
      <c r="D17" s="352">
        <v>89.64</v>
      </c>
      <c r="E17" s="364">
        <v>12.96</v>
      </c>
      <c r="F17" s="364">
        <v>0.7</v>
      </c>
      <c r="G17" s="360">
        <f t="shared" si="7"/>
        <v>5.4012345679012332</v>
      </c>
      <c r="H17" s="368">
        <f t="shared" si="3"/>
        <v>12.260000000000002</v>
      </c>
      <c r="I17" s="368">
        <f t="shared" si="8"/>
        <v>94.598765432098759</v>
      </c>
      <c r="J17" s="352">
        <v>12.26</v>
      </c>
      <c r="K17" s="369">
        <f t="shared" si="2"/>
        <v>13.676929941990183</v>
      </c>
      <c r="L17" s="364">
        <v>22.71</v>
      </c>
    </row>
    <row r="18" spans="1:12" s="344" customFormat="1">
      <c r="A18" s="324">
        <v>14</v>
      </c>
      <c r="B18" s="338" t="s">
        <v>28</v>
      </c>
      <c r="C18" s="339">
        <f>1772+1526+40</f>
        <v>3338</v>
      </c>
      <c r="D18" s="517">
        <f>1452.33+981</f>
        <v>2433.33</v>
      </c>
      <c r="E18" s="340">
        <v>1506</v>
      </c>
      <c r="F18" s="340">
        <v>189</v>
      </c>
      <c r="G18" s="340">
        <f t="shared" si="0"/>
        <v>12.549800796812749</v>
      </c>
      <c r="H18" s="340">
        <f t="shared" si="3"/>
        <v>1317</v>
      </c>
      <c r="I18" s="340">
        <f t="shared" si="1"/>
        <v>87.450199203187253</v>
      </c>
      <c r="J18" s="340">
        <v>589</v>
      </c>
      <c r="K18" s="340">
        <f t="shared" si="2"/>
        <v>24.205512610291251</v>
      </c>
      <c r="L18" s="340">
        <f>49+32</f>
        <v>81</v>
      </c>
    </row>
    <row r="19" spans="1:12" s="344" customFormat="1">
      <c r="A19" s="663">
        <v>15</v>
      </c>
      <c r="B19" s="338" t="s">
        <v>10</v>
      </c>
      <c r="C19" s="339">
        <v>11277</v>
      </c>
      <c r="D19" s="517">
        <v>26417</v>
      </c>
      <c r="E19" s="340">
        <v>6450.4</v>
      </c>
      <c r="F19" s="340">
        <v>3815</v>
      </c>
      <c r="G19" s="340">
        <v>70.25</v>
      </c>
      <c r="H19" s="340">
        <f>E19-F19</f>
        <v>2635.3999999999996</v>
      </c>
      <c r="I19" s="340">
        <f t="shared" si="1"/>
        <v>40.85638099962793</v>
      </c>
      <c r="J19" s="166">
        <v>2377</v>
      </c>
      <c r="K19" s="340">
        <f t="shared" si="2"/>
        <v>8.9979937161676187</v>
      </c>
      <c r="L19" s="327">
        <v>743.42999999999984</v>
      </c>
    </row>
    <row r="20" spans="1:12" s="344" customFormat="1">
      <c r="A20" s="324">
        <v>16</v>
      </c>
      <c r="B20" s="367" t="s">
        <v>98</v>
      </c>
      <c r="C20" s="366">
        <v>469</v>
      </c>
      <c r="D20" s="517">
        <f>473.25+484.23</f>
        <v>957.48</v>
      </c>
      <c r="E20" s="364">
        <v>172.35</v>
      </c>
      <c r="F20" s="364">
        <v>44.35</v>
      </c>
      <c r="G20" s="360">
        <f t="shared" ref="G20" si="9">F20/E20%</f>
        <v>25.732521032782131</v>
      </c>
      <c r="H20" s="368">
        <f t="shared" ref="H20" si="10">E20-F20</f>
        <v>128</v>
      </c>
      <c r="I20" s="368">
        <f t="shared" si="1"/>
        <v>74.267478967217869</v>
      </c>
      <c r="J20" s="352">
        <v>185.35</v>
      </c>
      <c r="K20" s="369">
        <f t="shared" si="2"/>
        <v>19.358106696745622</v>
      </c>
      <c r="L20" s="364">
        <v>5</v>
      </c>
    </row>
    <row r="21" spans="1:12" s="357" customFormat="1">
      <c r="A21" s="324">
        <v>17</v>
      </c>
      <c r="B21" s="325" t="s">
        <v>35</v>
      </c>
      <c r="C21" s="326">
        <v>1418</v>
      </c>
      <c r="D21" s="354">
        <f>147.52+197.53+2869+280.4</f>
        <v>3494.4500000000003</v>
      </c>
      <c r="E21" s="327">
        <v>798.53</v>
      </c>
      <c r="F21" s="327">
        <v>152.63</v>
      </c>
      <c r="G21" s="327">
        <f t="shared" si="0"/>
        <v>19.113871739321002</v>
      </c>
      <c r="H21" s="327">
        <f t="shared" si="3"/>
        <v>645.9</v>
      </c>
      <c r="I21" s="327">
        <f t="shared" si="1"/>
        <v>80.886128260679001</v>
      </c>
      <c r="J21" s="327">
        <v>323.22000000000003</v>
      </c>
      <c r="K21" s="327">
        <f t="shared" si="2"/>
        <v>9.2495242455894342</v>
      </c>
      <c r="L21" s="327">
        <v>137.15</v>
      </c>
    </row>
    <row r="22" spans="1:12">
      <c r="A22" s="407">
        <v>18</v>
      </c>
      <c r="B22" s="367" t="s">
        <v>54</v>
      </c>
      <c r="C22" s="366">
        <v>374</v>
      </c>
      <c r="D22" s="352">
        <v>7696</v>
      </c>
      <c r="E22" s="364">
        <v>5100</v>
      </c>
      <c r="F22" s="364">
        <v>1600</v>
      </c>
      <c r="G22" s="361">
        <f t="shared" si="0"/>
        <v>31.372549019607842</v>
      </c>
      <c r="H22" s="362">
        <f t="shared" si="3"/>
        <v>3500</v>
      </c>
      <c r="I22" s="362">
        <f t="shared" si="1"/>
        <v>68.627450980392155</v>
      </c>
      <c r="J22" s="352">
        <v>3888</v>
      </c>
      <c r="K22" s="363">
        <f t="shared" si="2"/>
        <v>50.519750519750524</v>
      </c>
      <c r="L22" s="364">
        <v>696.83</v>
      </c>
    </row>
    <row r="23" spans="1:12">
      <c r="A23" s="402">
        <v>19</v>
      </c>
      <c r="B23" s="359" t="s">
        <v>102</v>
      </c>
      <c r="C23" s="366">
        <v>225</v>
      </c>
      <c r="D23" s="352">
        <v>383.81</v>
      </c>
      <c r="E23" s="364">
        <v>168.37</v>
      </c>
      <c r="F23" s="364">
        <v>13.25</v>
      </c>
      <c r="G23" s="361">
        <f t="shared" si="0"/>
        <v>7.8695729643048047</v>
      </c>
      <c r="H23" s="362">
        <f t="shared" si="3"/>
        <v>155.12</v>
      </c>
      <c r="I23" s="362">
        <f t="shared" si="1"/>
        <v>92.130427035695206</v>
      </c>
      <c r="J23" s="353">
        <v>29.03</v>
      </c>
      <c r="K23" s="363">
        <f t="shared" si="2"/>
        <v>7.5636382585133273</v>
      </c>
      <c r="L23" s="364">
        <v>17.59</v>
      </c>
    </row>
    <row r="24" spans="1:12" s="741" customFormat="1">
      <c r="A24" s="771">
        <v>20</v>
      </c>
      <c r="B24" s="772" t="s">
        <v>104</v>
      </c>
      <c r="C24" s="753">
        <v>1402</v>
      </c>
      <c r="D24" s="778">
        <v>15879.36</v>
      </c>
      <c r="E24" s="754">
        <v>2362.7800000000002</v>
      </c>
      <c r="F24" s="755">
        <v>1124.98</v>
      </c>
      <c r="G24" s="773">
        <f t="shared" si="0"/>
        <v>47.612558088353552</v>
      </c>
      <c r="H24" s="774">
        <f t="shared" si="3"/>
        <v>1237.8000000000002</v>
      </c>
      <c r="I24" s="774">
        <f t="shared" si="1"/>
        <v>52.387441911646455</v>
      </c>
      <c r="J24" s="773">
        <v>705.05</v>
      </c>
      <c r="K24" s="775">
        <f t="shared" si="2"/>
        <v>4.4400404046510689</v>
      </c>
      <c r="L24" s="773">
        <v>6611.67</v>
      </c>
    </row>
    <row r="25" spans="1:12" s="344" customFormat="1">
      <c r="A25" s="324">
        <v>21</v>
      </c>
      <c r="B25" s="367" t="s">
        <v>106</v>
      </c>
      <c r="C25" s="366">
        <v>0</v>
      </c>
      <c r="D25" s="352">
        <v>0</v>
      </c>
      <c r="E25" s="364">
        <v>0</v>
      </c>
      <c r="F25" s="364">
        <v>0</v>
      </c>
      <c r="G25" s="360">
        <v>0</v>
      </c>
      <c r="H25" s="368">
        <f t="shared" si="3"/>
        <v>0</v>
      </c>
      <c r="I25" s="368">
        <v>0</v>
      </c>
      <c r="J25" s="352">
        <v>0</v>
      </c>
      <c r="K25" s="369">
        <v>0</v>
      </c>
      <c r="L25" s="364">
        <v>0</v>
      </c>
    </row>
    <row r="26" spans="1:12" s="344" customFormat="1">
      <c r="A26" s="324">
        <v>22</v>
      </c>
      <c r="B26" s="370" t="s">
        <v>481</v>
      </c>
      <c r="C26" s="366">
        <v>105</v>
      </c>
      <c r="D26" s="354">
        <v>554.09</v>
      </c>
      <c r="E26" s="364">
        <v>42.89</v>
      </c>
      <c r="F26" s="364">
        <v>42.89</v>
      </c>
      <c r="G26" s="360">
        <f t="shared" si="0"/>
        <v>100</v>
      </c>
      <c r="H26" s="368">
        <f t="shared" si="3"/>
        <v>0</v>
      </c>
      <c r="I26" s="368">
        <f t="shared" si="1"/>
        <v>0</v>
      </c>
      <c r="J26" s="352">
        <v>0</v>
      </c>
      <c r="K26" s="369">
        <f t="shared" si="2"/>
        <v>0</v>
      </c>
      <c r="L26" s="364">
        <v>82.8</v>
      </c>
    </row>
    <row r="27" spans="1:12" s="344" customFormat="1">
      <c r="A27" s="324">
        <v>23</v>
      </c>
      <c r="B27" s="370" t="s">
        <v>294</v>
      </c>
      <c r="C27" s="366">
        <v>0</v>
      </c>
      <c r="D27" s="352">
        <v>0</v>
      </c>
      <c r="E27" s="364">
        <v>0</v>
      </c>
      <c r="F27" s="364">
        <v>0</v>
      </c>
      <c r="G27" s="360">
        <v>0</v>
      </c>
      <c r="H27" s="368">
        <f t="shared" si="3"/>
        <v>0</v>
      </c>
      <c r="I27" s="368">
        <v>0</v>
      </c>
      <c r="J27" s="352">
        <v>0</v>
      </c>
      <c r="K27" s="369">
        <v>0</v>
      </c>
      <c r="L27" s="364">
        <v>0</v>
      </c>
    </row>
    <row r="28" spans="1:12" s="344" customFormat="1">
      <c r="A28" s="371">
        <v>24</v>
      </c>
      <c r="B28" s="370" t="s">
        <v>482</v>
      </c>
      <c r="C28" s="366">
        <v>0</v>
      </c>
      <c r="D28" s="354">
        <v>0</v>
      </c>
      <c r="E28" s="364">
        <v>0</v>
      </c>
      <c r="F28" s="364">
        <v>0</v>
      </c>
      <c r="G28" s="360">
        <v>0</v>
      </c>
      <c r="H28" s="368">
        <f t="shared" si="3"/>
        <v>0</v>
      </c>
      <c r="I28" s="368">
        <v>0</v>
      </c>
      <c r="J28" s="352">
        <v>0</v>
      </c>
      <c r="K28" s="369">
        <v>0</v>
      </c>
      <c r="L28" s="364">
        <v>0</v>
      </c>
    </row>
    <row r="29" spans="1:12" s="357" customFormat="1">
      <c r="A29" s="1663" t="s">
        <v>205</v>
      </c>
      <c r="B29" s="1664"/>
      <c r="C29" s="880">
        <f>SUM(C5:C27)</f>
        <v>24777</v>
      </c>
      <c r="D29" s="881">
        <f>SUM(D5:D27)</f>
        <v>88815.14</v>
      </c>
      <c r="E29" s="882">
        <f>SUM(E5:E27)</f>
        <v>21617.649999999998</v>
      </c>
      <c r="F29" s="882">
        <f>SUM(F5:F27)</f>
        <v>8741.4120000000003</v>
      </c>
      <c r="G29" s="691">
        <f>F29/E29%</f>
        <v>40.436458171910459</v>
      </c>
      <c r="H29" s="882">
        <f>E29-F29</f>
        <v>12876.237999999998</v>
      </c>
      <c r="I29" s="453">
        <f t="shared" si="1"/>
        <v>59.563541828089541</v>
      </c>
      <c r="J29" s="691">
        <f>SUM(J5:J27)</f>
        <v>12591.17</v>
      </c>
      <c r="K29" s="455">
        <f t="shared" si="2"/>
        <v>14.17682841011116</v>
      </c>
      <c r="L29" s="691">
        <f>SUM(L5:L27)</f>
        <v>10742.619999999999</v>
      </c>
    </row>
    <row r="30" spans="1:12" s="357" customFormat="1">
      <c r="A30" s="689">
        <v>1</v>
      </c>
      <c r="B30" s="878" t="s">
        <v>16</v>
      </c>
      <c r="C30" s="879">
        <v>4990</v>
      </c>
      <c r="D30" s="517">
        <v>11378</v>
      </c>
      <c r="E30" s="455">
        <v>2949.56</v>
      </c>
      <c r="F30" s="455">
        <v>1787.79</v>
      </c>
      <c r="G30" s="455">
        <f t="shared" si="0"/>
        <v>60.612091294972807</v>
      </c>
      <c r="H30" s="455">
        <v>1209.32</v>
      </c>
      <c r="I30" s="453">
        <f t="shared" si="1"/>
        <v>41.000013561344744</v>
      </c>
      <c r="J30" s="455">
        <v>1203.67</v>
      </c>
      <c r="K30" s="452">
        <f t="shared" si="2"/>
        <v>10.578924239760942</v>
      </c>
      <c r="L30" s="455">
        <v>813.77</v>
      </c>
    </row>
    <row r="31" spans="1:12" s="357" customFormat="1">
      <c r="A31" s="449">
        <v>1</v>
      </c>
      <c r="B31" s="883" t="s">
        <v>110</v>
      </c>
      <c r="C31" s="879">
        <v>13354</v>
      </c>
      <c r="D31" s="354">
        <v>11742.59</v>
      </c>
      <c r="E31" s="455">
        <v>2567.34</v>
      </c>
      <c r="F31" s="455">
        <v>803.9</v>
      </c>
      <c r="G31" s="455">
        <f t="shared" si="0"/>
        <v>31.312564755739402</v>
      </c>
      <c r="H31" s="452">
        <f>E31-F31</f>
        <v>1763.44</v>
      </c>
      <c r="I31" s="453">
        <f t="shared" si="1"/>
        <v>68.687435244260598</v>
      </c>
      <c r="J31" s="455">
        <v>7211.08</v>
      </c>
      <c r="K31" s="452">
        <f t="shared" si="2"/>
        <v>61.409620875803377</v>
      </c>
      <c r="L31" s="455">
        <v>1035.08</v>
      </c>
    </row>
    <row r="32" spans="1:12" s="357" customFormat="1">
      <c r="A32" s="1665" t="s">
        <v>188</v>
      </c>
      <c r="B32" s="1666"/>
      <c r="C32" s="880">
        <f>SUM(C29:C31)</f>
        <v>43121</v>
      </c>
      <c r="D32" s="884">
        <f>SUM(D29:D31)</f>
        <v>111935.73</v>
      </c>
      <c r="E32" s="882">
        <f>SUM(E29:E31)</f>
        <v>27134.55</v>
      </c>
      <c r="F32" s="882">
        <f>SUM(F29:F31)</f>
        <v>11333.102000000001</v>
      </c>
      <c r="G32" s="692">
        <f>F32/E32%</f>
        <v>41.766316375248529</v>
      </c>
      <c r="H32" s="885">
        <f>SUM(H29:H31)</f>
        <v>15848.997999999998</v>
      </c>
      <c r="I32" s="453">
        <f t="shared" si="1"/>
        <v>58.408921467280635</v>
      </c>
      <c r="J32" s="691">
        <f>SUM(J29:J31)</f>
        <v>21005.919999999998</v>
      </c>
      <c r="K32" s="691">
        <f>J32/D32%</f>
        <v>18.766054413546058</v>
      </c>
      <c r="L32" s="882">
        <f>SUM(L29:L31)</f>
        <v>12591.47</v>
      </c>
    </row>
    <row r="33" spans="1:12" s="357" customFormat="1">
      <c r="A33" s="689">
        <v>1</v>
      </c>
      <c r="B33" s="883" t="s">
        <v>117</v>
      </c>
      <c r="C33" s="879">
        <v>174</v>
      </c>
      <c r="D33" s="342">
        <v>8505.15</v>
      </c>
      <c r="E33" s="455">
        <v>0</v>
      </c>
      <c r="F33" s="455">
        <v>0</v>
      </c>
      <c r="G33" s="455">
        <f>[2]INDSTRY!G32</f>
        <v>0</v>
      </c>
      <c r="H33" s="455">
        <f>[2]INDSTRY!H32</f>
        <v>0</v>
      </c>
      <c r="I33" s="455">
        <f>[2]INDSTRY!I32</f>
        <v>0</v>
      </c>
      <c r="J33" s="455">
        <v>0</v>
      </c>
      <c r="K33" s="455">
        <v>0</v>
      </c>
      <c r="L33" s="455">
        <v>0</v>
      </c>
    </row>
    <row r="34" spans="1:12" s="357" customFormat="1">
      <c r="A34" s="449">
        <v>2</v>
      </c>
      <c r="B34" s="878" t="s">
        <v>119</v>
      </c>
      <c r="C34" s="879">
        <v>0</v>
      </c>
      <c r="D34" s="163">
        <v>43028.3</v>
      </c>
      <c r="E34" s="453">
        <f>[2]AGRI!E32</f>
        <v>1E-3</v>
      </c>
      <c r="F34" s="453">
        <f>[2]AGRI!F32</f>
        <v>1E-3</v>
      </c>
      <c r="G34" s="453">
        <f>[2]AGRI!G32</f>
        <v>0</v>
      </c>
      <c r="H34" s="453">
        <f>[2]AGRI!H32</f>
        <v>0</v>
      </c>
      <c r="I34" s="453">
        <v>0</v>
      </c>
      <c r="J34" s="453">
        <f>[2]AGRI!J32</f>
        <v>0</v>
      </c>
      <c r="K34" s="453">
        <v>0</v>
      </c>
      <c r="L34" s="455">
        <v>0</v>
      </c>
    </row>
    <row r="35" spans="1:12" s="357" customFormat="1">
      <c r="A35" s="886" t="s">
        <v>206</v>
      </c>
      <c r="B35" s="886"/>
      <c r="C35" s="880">
        <f>SUM(C32:C34)</f>
        <v>43295</v>
      </c>
      <c r="D35" s="887">
        <f>SUM(D32:D34)</f>
        <v>163469.18</v>
      </c>
      <c r="E35" s="887">
        <f>SUM(E32:E34)</f>
        <v>27134.550999999999</v>
      </c>
      <c r="F35" s="887">
        <f>SUM(F32:F34)</f>
        <v>11333.103000000001</v>
      </c>
      <c r="G35" s="691">
        <f>F35/E35%</f>
        <v>41.76631852135678</v>
      </c>
      <c r="H35" s="887">
        <f>SUM(H32:H34)</f>
        <v>15848.997999999998</v>
      </c>
      <c r="I35" s="691">
        <f>H35/E35%</f>
        <v>58.408919314714282</v>
      </c>
      <c r="J35" s="887">
        <f>SUM(J32:J34)</f>
        <v>21005.919999999998</v>
      </c>
      <c r="K35" s="691">
        <f>J35/D35%</f>
        <v>12.850079752036439</v>
      </c>
      <c r="L35" s="887">
        <f>SUM(L32:L34)</f>
        <v>12591.47</v>
      </c>
    </row>
    <row r="36" spans="1:12" s="344" customFormat="1">
      <c r="A36" s="834"/>
      <c r="B36" s="835"/>
      <c r="C36" s="1661" t="s">
        <v>136</v>
      </c>
      <c r="D36" s="1662"/>
      <c r="E36" s="836"/>
      <c r="F36" s="836"/>
      <c r="G36" s="837"/>
      <c r="H36" s="836" t="s">
        <v>219</v>
      </c>
      <c r="I36" s="837"/>
      <c r="J36" s="838"/>
      <c r="K36" s="838"/>
      <c r="L36" s="839"/>
    </row>
    <row r="37" spans="1:12">
      <c r="A37" s="829" t="s">
        <v>206</v>
      </c>
      <c r="B37" s="830"/>
      <c r="C37" s="831">
        <v>47569</v>
      </c>
      <c r="D37" s="832">
        <v>169232.22000000003</v>
      </c>
      <c r="E37" s="832">
        <v>27925.650999999998</v>
      </c>
      <c r="F37" s="832">
        <v>10897.091000000002</v>
      </c>
      <c r="G37" s="833">
        <v>39.021797558094534</v>
      </c>
      <c r="H37" s="832">
        <v>17076.109999999997</v>
      </c>
      <c r="I37" s="833">
        <v>61.148476001508428</v>
      </c>
      <c r="J37" s="832">
        <v>21455.7</v>
      </c>
      <c r="K37" s="833">
        <v>12.67825949455724</v>
      </c>
      <c r="L37" s="832">
        <v>21640.670000000006</v>
      </c>
    </row>
  </sheetData>
  <mergeCells count="6">
    <mergeCell ref="C36:D36"/>
    <mergeCell ref="A1:L1"/>
    <mergeCell ref="A2:L2"/>
    <mergeCell ref="A3:L3"/>
    <mergeCell ref="A29:B29"/>
    <mergeCell ref="A32:B32"/>
  </mergeCells>
  <printOptions gridLines="1"/>
  <pageMargins left="0.7" right="0.7" top="0.75" bottom="0.75" header="0.3" footer="0.3"/>
  <pageSetup scale="8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1"/>
    </sheetView>
  </sheetViews>
  <sheetFormatPr defaultRowHeight="15"/>
  <cols>
    <col min="11" max="11" width="10.42578125" customWidth="1"/>
  </cols>
  <sheetData>
    <row r="1" spans="1:12">
      <c r="A1" s="1488">
        <v>62</v>
      </c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</row>
    <row r="2" spans="1:12">
      <c r="A2" s="1489" t="s">
        <v>630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</row>
    <row r="3" spans="1:12">
      <c r="A3" s="1489" t="s">
        <v>192</v>
      </c>
      <c r="B3" s="1489"/>
      <c r="C3" s="1489"/>
      <c r="D3" s="1489"/>
      <c r="E3" s="1489"/>
      <c r="F3" s="1489"/>
      <c r="G3" s="1489"/>
      <c r="H3" s="1489"/>
      <c r="I3" s="1489"/>
      <c r="J3" s="1489"/>
      <c r="K3" s="1489"/>
      <c r="L3" s="1489"/>
    </row>
    <row r="4" spans="1:12" ht="25.5">
      <c r="A4" s="199" t="s">
        <v>130</v>
      </c>
      <c r="B4" s="199" t="s">
        <v>131</v>
      </c>
      <c r="C4" s="199" t="s">
        <v>209</v>
      </c>
      <c r="D4" s="199" t="s">
        <v>210</v>
      </c>
      <c r="E4" s="199" t="s">
        <v>211</v>
      </c>
      <c r="F4" s="199" t="s">
        <v>212</v>
      </c>
      <c r="G4" s="199" t="s">
        <v>213</v>
      </c>
      <c r="H4" s="199" t="s">
        <v>214</v>
      </c>
      <c r="I4" s="199" t="s">
        <v>215</v>
      </c>
      <c r="J4" s="199" t="s">
        <v>216</v>
      </c>
      <c r="K4" s="199" t="s">
        <v>217</v>
      </c>
      <c r="L4" s="199" t="s">
        <v>218</v>
      </c>
    </row>
    <row r="5" spans="1:12">
      <c r="A5" s="200">
        <v>1</v>
      </c>
      <c r="B5" s="200" t="s">
        <v>78</v>
      </c>
      <c r="C5" s="134">
        <v>11</v>
      </c>
      <c r="D5" s="201">
        <v>5.6</v>
      </c>
      <c r="E5" s="201">
        <v>2</v>
      </c>
      <c r="F5" s="201">
        <v>0</v>
      </c>
      <c r="G5" s="201">
        <v>0</v>
      </c>
      <c r="H5" s="201">
        <f t="shared" ref="H5:H11" si="0">E5-F5</f>
        <v>2</v>
      </c>
      <c r="I5" s="201">
        <v>0</v>
      </c>
      <c r="J5" s="201">
        <v>0</v>
      </c>
      <c r="K5" s="201">
        <f t="shared" ref="K5:K31" si="1">J5/D5%</f>
        <v>0</v>
      </c>
      <c r="L5" s="202">
        <v>0</v>
      </c>
    </row>
    <row r="6" spans="1:12">
      <c r="A6" s="200">
        <v>2</v>
      </c>
      <c r="B6" s="200" t="s">
        <v>27</v>
      </c>
      <c r="C6" s="134">
        <v>0</v>
      </c>
      <c r="D6" s="201">
        <v>1E-4</v>
      </c>
      <c r="E6" s="201">
        <v>0</v>
      </c>
      <c r="F6" s="201">
        <v>0</v>
      </c>
      <c r="G6" s="201">
        <v>0</v>
      </c>
      <c r="H6" s="201">
        <f t="shared" si="0"/>
        <v>0</v>
      </c>
      <c r="I6" s="201">
        <v>0</v>
      </c>
      <c r="J6" s="201">
        <v>0</v>
      </c>
      <c r="K6" s="201">
        <f t="shared" si="1"/>
        <v>0</v>
      </c>
      <c r="L6" s="202">
        <v>0</v>
      </c>
    </row>
    <row r="7" spans="1:12" ht="15.75">
      <c r="A7" s="372">
        <v>3</v>
      </c>
      <c r="B7" s="373" t="s">
        <v>46</v>
      </c>
      <c r="C7" s="24">
        <v>15</v>
      </c>
      <c r="D7" s="374">
        <v>4.8600000000000003</v>
      </c>
      <c r="E7" s="374">
        <v>4</v>
      </c>
      <c r="F7" s="374">
        <v>0.19</v>
      </c>
      <c r="G7" s="374">
        <f>F7/E7%</f>
        <v>4.75</v>
      </c>
      <c r="H7" s="374">
        <f t="shared" si="0"/>
        <v>3.81</v>
      </c>
      <c r="I7" s="374">
        <f>H7/E7%</f>
        <v>95.25</v>
      </c>
      <c r="J7" s="374">
        <v>0</v>
      </c>
      <c r="K7" s="201">
        <f t="shared" si="1"/>
        <v>0</v>
      </c>
      <c r="L7" s="375">
        <v>24</v>
      </c>
    </row>
    <row r="8" spans="1:12" s="357" customFormat="1">
      <c r="A8" s="204">
        <v>4</v>
      </c>
      <c r="B8" s="204" t="s">
        <v>32</v>
      </c>
      <c r="C8" s="141">
        <v>695</v>
      </c>
      <c r="D8" s="328">
        <v>459.42</v>
      </c>
      <c r="E8" s="328">
        <v>145.6</v>
      </c>
      <c r="F8" s="328">
        <v>75.55</v>
      </c>
      <c r="G8" s="328">
        <f>F8/E8%</f>
        <v>51.888736263736263</v>
      </c>
      <c r="H8" s="328">
        <f t="shared" si="0"/>
        <v>70.05</v>
      </c>
      <c r="I8" s="328">
        <f t="shared" ref="I8:I31" si="2">H8/E8%</f>
        <v>48.111263736263737</v>
      </c>
      <c r="J8" s="328">
        <v>2.2999999999999998</v>
      </c>
      <c r="K8" s="328">
        <f t="shared" si="1"/>
        <v>0.50063123068216442</v>
      </c>
      <c r="L8" s="329">
        <v>1.88</v>
      </c>
    </row>
    <row r="9" spans="1:12" ht="15.75">
      <c r="A9" s="372">
        <v>5</v>
      </c>
      <c r="B9" s="372" t="s">
        <v>83</v>
      </c>
      <c r="C9" s="24">
        <v>0</v>
      </c>
      <c r="D9" s="374">
        <v>1E-4</v>
      </c>
      <c r="E9" s="374">
        <v>0</v>
      </c>
      <c r="F9" s="374">
        <v>0</v>
      </c>
      <c r="G9" s="374">
        <v>0</v>
      </c>
      <c r="H9" s="374">
        <f t="shared" si="0"/>
        <v>0</v>
      </c>
      <c r="I9" s="374">
        <v>0</v>
      </c>
      <c r="J9" s="374">
        <v>0</v>
      </c>
      <c r="K9" s="201">
        <f t="shared" si="1"/>
        <v>0</v>
      </c>
      <c r="L9" s="375">
        <v>0</v>
      </c>
    </row>
    <row r="10" spans="1:12" s="741" customFormat="1">
      <c r="A10" s="780">
        <v>6</v>
      </c>
      <c r="B10" s="780" t="s">
        <v>85</v>
      </c>
      <c r="C10" s="134">
        <v>21</v>
      </c>
      <c r="D10" s="201">
        <v>37.35</v>
      </c>
      <c r="E10" s="201">
        <v>20.7</v>
      </c>
      <c r="F10" s="201">
        <v>5.2</v>
      </c>
      <c r="G10" s="201">
        <f>F10/E10%</f>
        <v>25.120772946859905</v>
      </c>
      <c r="H10" s="201">
        <f>E10-F10</f>
        <v>15.5</v>
      </c>
      <c r="I10" s="201">
        <f>H10/E10%</f>
        <v>74.879227053140099</v>
      </c>
      <c r="J10" s="201">
        <v>12</v>
      </c>
      <c r="K10" s="201">
        <f t="shared" ref="K10" si="3">J10/D10*100</f>
        <v>32.128514056224901</v>
      </c>
      <c r="L10" s="757">
        <v>3</v>
      </c>
    </row>
    <row r="11" spans="1:12" s="741" customFormat="1">
      <c r="A11" s="208">
        <v>7</v>
      </c>
      <c r="B11" s="208" t="s">
        <v>17</v>
      </c>
      <c r="C11" s="141">
        <v>443</v>
      </c>
      <c r="D11" s="328">
        <v>407.73</v>
      </c>
      <c r="E11" s="328">
        <v>175.5</v>
      </c>
      <c r="F11" s="328">
        <v>23.25</v>
      </c>
      <c r="G11" s="328">
        <f>F11/E11%</f>
        <v>13.247863247863249</v>
      </c>
      <c r="H11" s="328">
        <f t="shared" si="0"/>
        <v>152.25</v>
      </c>
      <c r="I11" s="328">
        <f>H11/E11%</f>
        <v>86.752136752136764</v>
      </c>
      <c r="J11" s="328">
        <v>40.200000000000003</v>
      </c>
      <c r="K11" s="201">
        <f t="shared" ref="K11" si="4">J11/D11*100</f>
        <v>9.8594658229710834</v>
      </c>
      <c r="L11" s="757">
        <v>17.170000000000002</v>
      </c>
    </row>
    <row r="12" spans="1:12" s="357" customFormat="1">
      <c r="A12" s="204">
        <v>8</v>
      </c>
      <c r="B12" s="204" t="s">
        <v>26</v>
      </c>
      <c r="C12" s="141">
        <v>0</v>
      </c>
      <c r="D12" s="328">
        <v>0</v>
      </c>
      <c r="E12" s="328">
        <v>0</v>
      </c>
      <c r="F12" s="328">
        <v>0</v>
      </c>
      <c r="G12" s="328">
        <v>0</v>
      </c>
      <c r="H12" s="328">
        <f t="shared" ref="H12:H13" si="5">E12-F12</f>
        <v>0</v>
      </c>
      <c r="I12" s="328">
        <v>0</v>
      </c>
      <c r="J12" s="328">
        <v>0</v>
      </c>
      <c r="K12" s="201">
        <v>0</v>
      </c>
      <c r="L12" s="329">
        <v>0</v>
      </c>
    </row>
    <row r="13" spans="1:12">
      <c r="A13" s="204">
        <v>9</v>
      </c>
      <c r="B13" s="204" t="s">
        <v>11</v>
      </c>
      <c r="C13" s="141">
        <v>1</v>
      </c>
      <c r="D13" s="328">
        <v>4.5</v>
      </c>
      <c r="E13" s="328">
        <v>0</v>
      </c>
      <c r="F13" s="328">
        <v>0</v>
      </c>
      <c r="G13" s="328">
        <v>0</v>
      </c>
      <c r="H13" s="328">
        <f t="shared" si="5"/>
        <v>0</v>
      </c>
      <c r="I13" s="328">
        <v>0</v>
      </c>
      <c r="J13" s="328">
        <v>0</v>
      </c>
      <c r="K13" s="201">
        <f t="shared" si="1"/>
        <v>0</v>
      </c>
      <c r="L13" s="329">
        <v>8.5500000000000007</v>
      </c>
    </row>
    <row r="14" spans="1:12" ht="15.75">
      <c r="A14" s="372">
        <v>10</v>
      </c>
      <c r="B14" s="372" t="s">
        <v>90</v>
      </c>
      <c r="C14" s="376">
        <v>90</v>
      </c>
      <c r="D14" s="377">
        <v>47.14</v>
      </c>
      <c r="E14" s="377">
        <v>0</v>
      </c>
      <c r="F14" s="377">
        <v>0</v>
      </c>
      <c r="G14" s="377">
        <v>0</v>
      </c>
      <c r="H14" s="377">
        <f>E14-F14</f>
        <v>0</v>
      </c>
      <c r="I14" s="377">
        <v>0</v>
      </c>
      <c r="J14" s="377">
        <v>47.14</v>
      </c>
      <c r="K14" s="201">
        <f t="shared" si="1"/>
        <v>100</v>
      </c>
      <c r="L14" s="378">
        <v>0</v>
      </c>
    </row>
    <row r="15" spans="1:12" ht="15.75">
      <c r="A15" s="372">
        <v>11</v>
      </c>
      <c r="B15" s="372" t="s">
        <v>92</v>
      </c>
      <c r="C15" s="379">
        <v>1</v>
      </c>
      <c r="D15" s="380">
        <v>0.64</v>
      </c>
      <c r="E15" s="380">
        <v>0</v>
      </c>
      <c r="F15" s="380">
        <v>0</v>
      </c>
      <c r="G15" s="380">
        <v>0</v>
      </c>
      <c r="H15" s="380">
        <f t="shared" ref="H15:H17" si="6">E15-F15</f>
        <v>0</v>
      </c>
      <c r="I15" s="380">
        <v>0</v>
      </c>
      <c r="J15" s="380">
        <v>0</v>
      </c>
      <c r="K15" s="201">
        <f t="shared" si="1"/>
        <v>0</v>
      </c>
      <c r="L15" s="380">
        <v>0</v>
      </c>
    </row>
    <row r="16" spans="1:12" ht="15.75">
      <c r="A16" s="372">
        <v>12</v>
      </c>
      <c r="B16" s="372" t="s">
        <v>51</v>
      </c>
      <c r="C16" s="379">
        <v>0</v>
      </c>
      <c r="D16" s="380">
        <v>1E-4</v>
      </c>
      <c r="E16" s="380">
        <v>0</v>
      </c>
      <c r="F16" s="380">
        <v>0</v>
      </c>
      <c r="G16" s="380">
        <v>0</v>
      </c>
      <c r="H16" s="380">
        <f t="shared" si="6"/>
        <v>0</v>
      </c>
      <c r="I16" s="380">
        <v>0</v>
      </c>
      <c r="J16" s="380">
        <v>0</v>
      </c>
      <c r="K16" s="201">
        <f t="shared" si="1"/>
        <v>0</v>
      </c>
      <c r="L16" s="380">
        <v>0</v>
      </c>
    </row>
    <row r="17" spans="1:12" ht="15.75">
      <c r="A17" s="372">
        <v>13</v>
      </c>
      <c r="B17" s="372" t="s">
        <v>52</v>
      </c>
      <c r="C17" s="379">
        <v>0</v>
      </c>
      <c r="D17" s="380">
        <v>1E-4</v>
      </c>
      <c r="E17" s="380">
        <v>0</v>
      </c>
      <c r="F17" s="380">
        <v>0</v>
      </c>
      <c r="G17" s="380">
        <v>0</v>
      </c>
      <c r="H17" s="380">
        <f t="shared" si="6"/>
        <v>0</v>
      </c>
      <c r="I17" s="380">
        <v>0</v>
      </c>
      <c r="J17" s="380">
        <v>0</v>
      </c>
      <c r="K17" s="201">
        <f t="shared" si="1"/>
        <v>0</v>
      </c>
      <c r="L17" s="380">
        <v>0</v>
      </c>
    </row>
    <row r="18" spans="1:12" s="357" customFormat="1">
      <c r="A18" s="204">
        <v>14</v>
      </c>
      <c r="B18" s="204" t="s">
        <v>28</v>
      </c>
      <c r="C18" s="141">
        <f>676+1413</f>
        <v>2089</v>
      </c>
      <c r="D18" s="328">
        <f>1081.8+316</f>
        <v>1397.8</v>
      </c>
      <c r="E18" s="328">
        <v>160</v>
      </c>
      <c r="F18" s="328">
        <v>41</v>
      </c>
      <c r="G18" s="328">
        <f t="shared" ref="G18:G24" si="7">F18/E18%</f>
        <v>25.625</v>
      </c>
      <c r="H18" s="328">
        <f>E18-F18</f>
        <v>119</v>
      </c>
      <c r="I18" s="328">
        <f t="shared" si="2"/>
        <v>74.375</v>
      </c>
      <c r="J18" s="328">
        <v>38</v>
      </c>
      <c r="K18" s="201">
        <f t="shared" si="1"/>
        <v>2.718557733581342</v>
      </c>
      <c r="L18" s="329">
        <v>0</v>
      </c>
    </row>
    <row r="19" spans="1:12" s="357" customFormat="1">
      <c r="A19" s="204">
        <v>15</v>
      </c>
      <c r="B19" s="204" t="s">
        <v>10</v>
      </c>
      <c r="C19" s="141">
        <v>5528</v>
      </c>
      <c r="D19" s="328">
        <v>3593</v>
      </c>
      <c r="E19" s="328">
        <v>1056</v>
      </c>
      <c r="F19" s="328">
        <v>389</v>
      </c>
      <c r="G19" s="328">
        <f t="shared" si="7"/>
        <v>36.837121212121211</v>
      </c>
      <c r="H19" s="328">
        <f t="shared" ref="H19:H25" si="8">E19-F19</f>
        <v>667</v>
      </c>
      <c r="I19" s="328">
        <f t="shared" si="2"/>
        <v>63.162878787878782</v>
      </c>
      <c r="J19" s="328">
        <v>580</v>
      </c>
      <c r="K19" s="201">
        <f t="shared" si="1"/>
        <v>16.142499304202616</v>
      </c>
      <c r="L19" s="329">
        <v>53.190000000000005</v>
      </c>
    </row>
    <row r="20" spans="1:12" ht="15.75">
      <c r="A20" s="381">
        <v>16</v>
      </c>
      <c r="B20" s="381" t="s">
        <v>98</v>
      </c>
      <c r="C20" s="376">
        <v>223</v>
      </c>
      <c r="D20" s="377">
        <v>165</v>
      </c>
      <c r="E20" s="377">
        <v>2.46</v>
      </c>
      <c r="F20" s="377">
        <v>0</v>
      </c>
      <c r="G20" s="377">
        <f t="shared" si="7"/>
        <v>0</v>
      </c>
      <c r="H20" s="377">
        <f t="shared" si="8"/>
        <v>2.46</v>
      </c>
      <c r="I20" s="377">
        <f>H20/E20%</f>
        <v>100</v>
      </c>
      <c r="J20" s="377">
        <v>72.27</v>
      </c>
      <c r="K20" s="201">
        <f t="shared" si="1"/>
        <v>43.8</v>
      </c>
      <c r="L20" s="378">
        <v>0</v>
      </c>
    </row>
    <row r="21" spans="1:12" s="357" customFormat="1">
      <c r="A21" s="204">
        <v>17</v>
      </c>
      <c r="B21" s="204" t="s">
        <v>35</v>
      </c>
      <c r="C21" s="141">
        <v>178</v>
      </c>
      <c r="D21" s="328">
        <v>29.81</v>
      </c>
      <c r="E21" s="328">
        <v>6.5</v>
      </c>
      <c r="F21" s="328">
        <v>2.12</v>
      </c>
      <c r="G21" s="328">
        <f t="shared" si="7"/>
        <v>32.615384615384613</v>
      </c>
      <c r="H21" s="328">
        <f t="shared" si="8"/>
        <v>4.38</v>
      </c>
      <c r="I21" s="328">
        <f t="shared" si="2"/>
        <v>67.384615384615387</v>
      </c>
      <c r="J21" s="328">
        <v>0.71</v>
      </c>
      <c r="K21" s="201">
        <f t="shared" si="1"/>
        <v>2.3817510902381751</v>
      </c>
      <c r="L21" s="329">
        <v>7.5</v>
      </c>
    </row>
    <row r="22" spans="1:12" ht="15.75">
      <c r="A22" s="381">
        <v>18</v>
      </c>
      <c r="B22" s="381" t="s">
        <v>54</v>
      </c>
      <c r="C22" s="376">
        <v>27</v>
      </c>
      <c r="D22" s="377">
        <v>188</v>
      </c>
      <c r="E22" s="377">
        <v>188</v>
      </c>
      <c r="F22" s="377">
        <v>0</v>
      </c>
      <c r="G22" s="377">
        <f t="shared" si="7"/>
        <v>0</v>
      </c>
      <c r="H22" s="377">
        <f t="shared" si="8"/>
        <v>188</v>
      </c>
      <c r="I22" s="377">
        <f t="shared" si="2"/>
        <v>100</v>
      </c>
      <c r="J22" s="377">
        <v>130</v>
      </c>
      <c r="K22" s="201">
        <f t="shared" si="1"/>
        <v>69.148936170212764</v>
      </c>
      <c r="L22" s="378">
        <v>49</v>
      </c>
    </row>
    <row r="23" spans="1:12" ht="15.75">
      <c r="A23" s="372">
        <v>19</v>
      </c>
      <c r="B23" s="372" t="s">
        <v>102</v>
      </c>
      <c r="C23" s="436">
        <v>89</v>
      </c>
      <c r="D23" s="437">
        <v>63.18</v>
      </c>
      <c r="E23" s="437">
        <v>48.28</v>
      </c>
      <c r="F23" s="437">
        <v>4.5</v>
      </c>
      <c r="G23" s="437">
        <f t="shared" si="7"/>
        <v>9.3206296603148306</v>
      </c>
      <c r="H23" s="437">
        <f t="shared" si="8"/>
        <v>43.78</v>
      </c>
      <c r="I23" s="437">
        <f t="shared" si="2"/>
        <v>90.679370339685164</v>
      </c>
      <c r="J23" s="437">
        <v>1.54</v>
      </c>
      <c r="K23" s="201">
        <f t="shared" si="1"/>
        <v>2.4374802152579931</v>
      </c>
      <c r="L23" s="438">
        <v>1.88</v>
      </c>
    </row>
    <row r="24" spans="1:12" s="741" customFormat="1">
      <c r="A24" s="780">
        <v>20</v>
      </c>
      <c r="B24" s="780" t="s">
        <v>104</v>
      </c>
      <c r="C24" s="134">
        <v>21</v>
      </c>
      <c r="D24" s="201">
        <v>223</v>
      </c>
      <c r="E24" s="201">
        <v>12.6</v>
      </c>
      <c r="F24" s="201">
        <v>1.5</v>
      </c>
      <c r="G24" s="201">
        <f t="shared" si="7"/>
        <v>11.904761904761905</v>
      </c>
      <c r="H24" s="201">
        <f>E24-F24</f>
        <v>11.1</v>
      </c>
      <c r="I24" s="201">
        <f t="shared" si="2"/>
        <v>88.095238095238088</v>
      </c>
      <c r="J24" s="201">
        <v>12.6</v>
      </c>
      <c r="K24" s="201">
        <f t="shared" ref="K24" si="9">J24/D24*100</f>
        <v>5.6502242152466371</v>
      </c>
      <c r="L24" s="757">
        <v>0</v>
      </c>
    </row>
    <row r="25" spans="1:12" ht="15.75">
      <c r="A25" s="372">
        <v>21</v>
      </c>
      <c r="B25" s="372" t="s">
        <v>106</v>
      </c>
      <c r="C25" s="382">
        <v>0</v>
      </c>
      <c r="D25" s="383">
        <v>1E-4</v>
      </c>
      <c r="E25" s="383">
        <v>0</v>
      </c>
      <c r="F25" s="383">
        <v>0</v>
      </c>
      <c r="G25" s="380">
        <v>0</v>
      </c>
      <c r="H25" s="383">
        <f t="shared" si="8"/>
        <v>0</v>
      </c>
      <c r="I25" s="380">
        <v>0</v>
      </c>
      <c r="J25" s="383">
        <v>0</v>
      </c>
      <c r="K25" s="201">
        <f t="shared" si="1"/>
        <v>0</v>
      </c>
      <c r="L25" s="383">
        <v>0</v>
      </c>
    </row>
    <row r="26" spans="1:12" ht="15.75">
      <c r="A26" s="372">
        <v>22</v>
      </c>
      <c r="B26" s="372" t="s">
        <v>481</v>
      </c>
      <c r="C26" s="382">
        <v>0</v>
      </c>
      <c r="D26" s="383">
        <v>0</v>
      </c>
      <c r="E26" s="383">
        <v>0</v>
      </c>
      <c r="F26" s="383">
        <v>0</v>
      </c>
      <c r="G26" s="380">
        <v>0</v>
      </c>
      <c r="H26" s="383">
        <v>0</v>
      </c>
      <c r="I26" s="380">
        <v>0</v>
      </c>
      <c r="J26" s="383">
        <v>0</v>
      </c>
      <c r="K26" s="201">
        <v>0</v>
      </c>
      <c r="L26" s="383">
        <v>0</v>
      </c>
    </row>
    <row r="27" spans="1:12" ht="15.75">
      <c r="A27" s="372">
        <v>23</v>
      </c>
      <c r="B27" s="372" t="s">
        <v>294</v>
      </c>
      <c r="C27" s="382">
        <v>0</v>
      </c>
      <c r="D27" s="383">
        <v>0</v>
      </c>
      <c r="E27" s="383">
        <v>0</v>
      </c>
      <c r="F27" s="383">
        <v>0</v>
      </c>
      <c r="G27" s="380">
        <v>0</v>
      </c>
      <c r="H27" s="383">
        <v>0</v>
      </c>
      <c r="I27" s="380">
        <v>0</v>
      </c>
      <c r="J27" s="383">
        <v>0</v>
      </c>
      <c r="K27" s="201">
        <v>0</v>
      </c>
      <c r="L27" s="383">
        <v>0</v>
      </c>
    </row>
    <row r="28" spans="1:12" s="357" customFormat="1">
      <c r="A28" s="1668" t="s">
        <v>205</v>
      </c>
      <c r="B28" s="1668"/>
      <c r="C28" s="733">
        <f>SUM(C5:C27)</f>
        <v>9432</v>
      </c>
      <c r="D28" s="896">
        <f>SUM(D5:D27)</f>
        <v>6627.0305000000008</v>
      </c>
      <c r="E28" s="896">
        <f>SUM(E5:E27)</f>
        <v>1821.6399999999999</v>
      </c>
      <c r="F28" s="896">
        <f>SUM(F5:F27)</f>
        <v>542.31000000000006</v>
      </c>
      <c r="G28" s="328">
        <f>F28/E28%</f>
        <v>29.77042664851453</v>
      </c>
      <c r="H28" s="896">
        <f>E28-F28</f>
        <v>1279.33</v>
      </c>
      <c r="I28" s="328">
        <f t="shared" si="2"/>
        <v>70.22957335148547</v>
      </c>
      <c r="J28" s="896">
        <f>SUM(J5:J27)</f>
        <v>936.76</v>
      </c>
      <c r="K28" s="328">
        <f t="shared" si="1"/>
        <v>14.135441205529382</v>
      </c>
      <c r="L28" s="897">
        <f>SUM(L5:L27)</f>
        <v>166.17</v>
      </c>
    </row>
    <row r="29" spans="1:12" s="357" customFormat="1">
      <c r="A29" s="204">
        <v>1</v>
      </c>
      <c r="B29" s="204" t="s">
        <v>16</v>
      </c>
      <c r="C29" s="141">
        <v>3352</v>
      </c>
      <c r="D29" s="328">
        <v>2476.67</v>
      </c>
      <c r="E29" s="328">
        <v>160.94999999999999</v>
      </c>
      <c r="F29" s="328">
        <v>0</v>
      </c>
      <c r="G29" s="328">
        <f>F29/E29%</f>
        <v>0</v>
      </c>
      <c r="H29" s="328">
        <f>E29-F29</f>
        <v>160.94999999999999</v>
      </c>
      <c r="I29" s="328">
        <f>H29/E29%</f>
        <v>100</v>
      </c>
      <c r="J29" s="328">
        <v>89.6</v>
      </c>
      <c r="K29" s="328">
        <f t="shared" si="1"/>
        <v>3.6177609451400468</v>
      </c>
      <c r="L29" s="329">
        <v>104.1</v>
      </c>
    </row>
    <row r="30" spans="1:12" s="741" customFormat="1">
      <c r="A30" s="780">
        <v>1</v>
      </c>
      <c r="B30" s="780" t="s">
        <v>110</v>
      </c>
      <c r="C30" s="134">
        <v>64</v>
      </c>
      <c r="D30" s="201">
        <v>518.16</v>
      </c>
      <c r="E30" s="201">
        <v>256.3</v>
      </c>
      <c r="F30" s="201">
        <v>10.02</v>
      </c>
      <c r="G30" s="201">
        <f>F30/E30%</f>
        <v>3.9094810768630506</v>
      </c>
      <c r="H30" s="201">
        <f>E30-F30</f>
        <v>246.28</v>
      </c>
      <c r="I30" s="201">
        <f>H30/E30%</f>
        <v>96.090518923136941</v>
      </c>
      <c r="J30" s="201">
        <v>256.3</v>
      </c>
      <c r="K30" s="201">
        <f>J30/D30*100</f>
        <v>49.46348618187433</v>
      </c>
      <c r="L30" s="757">
        <v>15.99</v>
      </c>
    </row>
    <row r="31" spans="1:12" s="357" customFormat="1">
      <c r="A31" s="1668" t="s">
        <v>188</v>
      </c>
      <c r="B31" s="1668"/>
      <c r="C31" s="733">
        <f>SUM(C28:C30)</f>
        <v>12848</v>
      </c>
      <c r="D31" s="896">
        <f>SUM(D28:D30)</f>
        <v>9621.8605000000007</v>
      </c>
      <c r="E31" s="896">
        <f>SUM(E28:E30)</f>
        <v>2238.89</v>
      </c>
      <c r="F31" s="896">
        <f>SUM(F28:F30)</f>
        <v>552.33000000000004</v>
      </c>
      <c r="G31" s="328">
        <f>F31/E31%</f>
        <v>24.669814059645631</v>
      </c>
      <c r="H31" s="896">
        <f>SUM(H28:H30)</f>
        <v>1686.56</v>
      </c>
      <c r="I31" s="328">
        <f t="shared" si="2"/>
        <v>75.330185940354369</v>
      </c>
      <c r="J31" s="896">
        <f>SUM(J28:J30)</f>
        <v>1282.6599999999999</v>
      </c>
      <c r="K31" s="328">
        <f t="shared" si="1"/>
        <v>13.330685889698772</v>
      </c>
      <c r="L31" s="897">
        <f>SUM(L28:L30)</f>
        <v>286.26</v>
      </c>
    </row>
    <row r="32" spans="1:12" s="344" customFormat="1">
      <c r="A32" s="750"/>
      <c r="B32" s="1667" t="s">
        <v>136</v>
      </c>
      <c r="C32" s="1667"/>
      <c r="D32" s="1667"/>
      <c r="E32" s="1667"/>
      <c r="F32" s="1667"/>
      <c r="G32" s="1667"/>
      <c r="H32" s="1667"/>
      <c r="I32" s="1667"/>
      <c r="J32" s="1667"/>
      <c r="K32" s="1667"/>
      <c r="L32" s="1667"/>
    </row>
    <row r="33" spans="1:12" s="741" customFormat="1">
      <c r="A33" s="1491" t="s">
        <v>565</v>
      </c>
      <c r="B33" s="1491"/>
      <c r="C33" s="148">
        <f>SUM(C30:C32)</f>
        <v>12912</v>
      </c>
      <c r="D33" s="840">
        <f>SUM(D30:D32)</f>
        <v>10140.020500000001</v>
      </c>
      <c r="E33" s="840">
        <f>SUM(E30:E32)</f>
        <v>2495.19</v>
      </c>
      <c r="F33" s="840">
        <f>SUM(F30:F32)</f>
        <v>562.35</v>
      </c>
      <c r="G33" s="840">
        <f>F33/E33%</f>
        <v>22.537361884265326</v>
      </c>
      <c r="H33" s="840">
        <f>SUM(H30:H32)</f>
        <v>1932.84</v>
      </c>
      <c r="I33" s="840">
        <f>H33/E33%</f>
        <v>77.462638115734663</v>
      </c>
      <c r="J33" s="840">
        <f>SUM(J30:J32)</f>
        <v>1538.9599999999998</v>
      </c>
      <c r="K33" s="840">
        <f>J33/D33*100</f>
        <v>15.177089632116619</v>
      </c>
      <c r="L33" s="841">
        <f>SUM(L30:L32)</f>
        <v>302.25</v>
      </c>
    </row>
  </sheetData>
  <mergeCells count="7">
    <mergeCell ref="A33:B33"/>
    <mergeCell ref="B32:L32"/>
    <mergeCell ref="A1:L1"/>
    <mergeCell ref="A2:L2"/>
    <mergeCell ref="A3:L3"/>
    <mergeCell ref="A28:B28"/>
    <mergeCell ref="A31:B31"/>
  </mergeCells>
  <printOptions gridLines="1"/>
  <pageMargins left="0.7" right="0.7" top="0.75" bottom="0.75" header="0.3" footer="0.3"/>
  <pageSetup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S35"/>
  <sheetViews>
    <sheetView workbookViewId="0">
      <selection sqref="A1:Q1"/>
    </sheetView>
  </sheetViews>
  <sheetFormatPr defaultRowHeight="15"/>
  <sheetData>
    <row r="1" spans="1:19">
      <c r="A1" s="1494">
        <v>63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</row>
    <row r="2" spans="1:19">
      <c r="A2" s="1489" t="s">
        <v>239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89"/>
    </row>
    <row r="3" spans="1:19">
      <c r="A3" s="1495" t="s">
        <v>192</v>
      </c>
      <c r="B3" s="1495"/>
      <c r="C3" s="1495"/>
      <c r="D3" s="1495"/>
      <c r="E3" s="1495"/>
      <c r="F3" s="1495"/>
      <c r="G3" s="1495"/>
      <c r="H3" s="1495"/>
      <c r="I3" s="1495"/>
      <c r="J3" s="1495"/>
      <c r="K3" s="1495"/>
      <c r="L3" s="1495"/>
      <c r="M3" s="1495"/>
      <c r="N3" s="1495"/>
      <c r="O3" s="1495"/>
      <c r="P3" s="1495"/>
      <c r="Q3" s="1495"/>
    </row>
    <row r="4" spans="1:19" ht="25.5">
      <c r="A4" s="205" t="s">
        <v>130</v>
      </c>
      <c r="B4" s="205" t="s">
        <v>131</v>
      </c>
      <c r="C4" s="205" t="s">
        <v>223</v>
      </c>
      <c r="D4" s="205" t="s">
        <v>224</v>
      </c>
      <c r="E4" s="205" t="s">
        <v>225</v>
      </c>
      <c r="F4" s="205" t="s">
        <v>226</v>
      </c>
      <c r="G4" s="205" t="s">
        <v>227</v>
      </c>
      <c r="H4" s="205" t="s">
        <v>228</v>
      </c>
      <c r="I4" s="205" t="s">
        <v>229</v>
      </c>
      <c r="J4" s="205" t="s">
        <v>230</v>
      </c>
      <c r="K4" s="205" t="s">
        <v>231</v>
      </c>
      <c r="L4" s="205" t="s">
        <v>232</v>
      </c>
      <c r="M4" s="205" t="s">
        <v>233</v>
      </c>
      <c r="N4" s="205" t="s">
        <v>234</v>
      </c>
      <c r="O4" s="205" t="s">
        <v>235</v>
      </c>
      <c r="P4" s="205" t="s">
        <v>236</v>
      </c>
      <c r="Q4" s="205" t="s">
        <v>13</v>
      </c>
    </row>
    <row r="5" spans="1:19">
      <c r="A5" s="200">
        <v>1</v>
      </c>
      <c r="B5" s="206" t="s">
        <v>78</v>
      </c>
      <c r="C5" s="201">
        <v>5.6</v>
      </c>
      <c r="D5" s="203">
        <v>114.62</v>
      </c>
      <c r="E5" s="203">
        <v>0</v>
      </c>
      <c r="F5" s="203">
        <v>0</v>
      </c>
      <c r="G5" s="203">
        <v>0</v>
      </c>
      <c r="H5" s="203">
        <v>0</v>
      </c>
      <c r="I5" s="203">
        <v>0</v>
      </c>
      <c r="J5" s="203">
        <v>0</v>
      </c>
      <c r="K5" s="203">
        <v>0</v>
      </c>
      <c r="L5" s="203">
        <v>0</v>
      </c>
      <c r="M5" s="203">
        <v>0</v>
      </c>
      <c r="N5" s="203">
        <v>0</v>
      </c>
      <c r="O5" s="203">
        <v>0</v>
      </c>
      <c r="P5" s="203">
        <v>0</v>
      </c>
      <c r="Q5" s="904">
        <f>C5+D5+E5+F5+G5+H5+I5+J5+K5+L5+M5+N5+O5+P5</f>
        <v>120.22</v>
      </c>
      <c r="R5" s="914"/>
      <c r="S5" s="910"/>
    </row>
    <row r="6" spans="1:19">
      <c r="A6" s="200">
        <v>2</v>
      </c>
      <c r="B6" s="206" t="s">
        <v>27</v>
      </c>
      <c r="C6" s="201">
        <v>1E-4</v>
      </c>
      <c r="D6" s="201">
        <v>0</v>
      </c>
      <c r="E6" s="201">
        <v>0</v>
      </c>
      <c r="F6" s="201">
        <v>0</v>
      </c>
      <c r="G6" s="201">
        <v>0</v>
      </c>
      <c r="H6" s="201">
        <v>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905">
        <v>0</v>
      </c>
      <c r="R6" s="914"/>
      <c r="S6" s="910"/>
    </row>
    <row r="7" spans="1:19" ht="15.75">
      <c r="A7" s="372">
        <v>3</v>
      </c>
      <c r="B7" s="384" t="s">
        <v>46</v>
      </c>
      <c r="C7" s="374">
        <v>4.8600000000000003</v>
      </c>
      <c r="D7" s="374">
        <v>0</v>
      </c>
      <c r="E7" s="374">
        <v>0</v>
      </c>
      <c r="F7" s="374">
        <v>0</v>
      </c>
      <c r="G7" s="374">
        <v>0</v>
      </c>
      <c r="H7" s="374">
        <v>0</v>
      </c>
      <c r="I7" s="374">
        <v>0</v>
      </c>
      <c r="J7" s="374">
        <v>0</v>
      </c>
      <c r="K7" s="374">
        <v>0</v>
      </c>
      <c r="L7" s="374">
        <v>0</v>
      </c>
      <c r="M7" s="374">
        <v>0</v>
      </c>
      <c r="N7" s="374">
        <v>0</v>
      </c>
      <c r="O7" s="374">
        <v>0</v>
      </c>
      <c r="P7" s="374">
        <v>60.41</v>
      </c>
      <c r="Q7" s="906">
        <v>64.06</v>
      </c>
      <c r="R7" s="915"/>
      <c r="S7" s="910"/>
    </row>
    <row r="8" spans="1:19" s="357" customFormat="1">
      <c r="A8" s="204">
        <v>4</v>
      </c>
      <c r="B8" s="207" t="s">
        <v>32</v>
      </c>
      <c r="C8" s="328">
        <v>459.42</v>
      </c>
      <c r="D8" s="328">
        <v>0</v>
      </c>
      <c r="E8" s="328">
        <v>0</v>
      </c>
      <c r="F8" s="328">
        <v>0</v>
      </c>
      <c r="G8" s="328">
        <v>0</v>
      </c>
      <c r="H8" s="328">
        <v>0</v>
      </c>
      <c r="I8" s="328">
        <v>0</v>
      </c>
      <c r="J8" s="328">
        <v>31.38</v>
      </c>
      <c r="K8" s="328">
        <v>0</v>
      </c>
      <c r="L8" s="328">
        <v>3.65</v>
      </c>
      <c r="M8" s="328">
        <v>0</v>
      </c>
      <c r="N8" s="328">
        <v>0</v>
      </c>
      <c r="O8" s="328">
        <v>0</v>
      </c>
      <c r="P8" s="328">
        <v>63.19</v>
      </c>
      <c r="Q8" s="907">
        <f t="shared" ref="Q8:Q33" si="0">C8+D8+E8+F8+G8+H8+I8+J8+K8+L8+M8+N8+O8+P8</f>
        <v>557.64</v>
      </c>
      <c r="R8" s="916"/>
      <c r="S8" s="910"/>
    </row>
    <row r="9" spans="1:19" ht="15.75">
      <c r="A9" s="372">
        <v>5</v>
      </c>
      <c r="B9" s="384" t="s">
        <v>83</v>
      </c>
      <c r="C9" s="374">
        <v>1E-4</v>
      </c>
      <c r="D9" s="374">
        <v>0</v>
      </c>
      <c r="E9" s="374">
        <v>0</v>
      </c>
      <c r="F9" s="374">
        <v>0</v>
      </c>
      <c r="G9" s="374">
        <v>0</v>
      </c>
      <c r="H9" s="374">
        <v>0</v>
      </c>
      <c r="I9" s="374">
        <v>0</v>
      </c>
      <c r="J9" s="374">
        <v>0</v>
      </c>
      <c r="K9" s="374">
        <v>0</v>
      </c>
      <c r="L9" s="374">
        <v>0</v>
      </c>
      <c r="M9" s="374">
        <v>0</v>
      </c>
      <c r="N9" s="374">
        <v>0</v>
      </c>
      <c r="O9" s="374">
        <v>0</v>
      </c>
      <c r="P9" s="374">
        <v>1.76</v>
      </c>
      <c r="Q9" s="906">
        <f>C9+D9+E9+F9+G9+H9+I9+J9+K9+L9+M9+N9+O9+P9</f>
        <v>1.7601</v>
      </c>
      <c r="R9" s="915"/>
      <c r="S9" s="910"/>
    </row>
    <row r="10" spans="1:19" s="741" customFormat="1">
      <c r="A10" s="200">
        <v>6</v>
      </c>
      <c r="B10" s="206" t="s">
        <v>85</v>
      </c>
      <c r="C10" s="201">
        <v>37.35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28</v>
      </c>
      <c r="K10" s="201">
        <v>0</v>
      </c>
      <c r="L10" s="201">
        <v>9.6999999999999993</v>
      </c>
      <c r="M10" s="201">
        <v>0</v>
      </c>
      <c r="N10" s="201">
        <v>0</v>
      </c>
      <c r="O10" s="201">
        <v>0</v>
      </c>
      <c r="P10" s="201">
        <v>670.28</v>
      </c>
      <c r="Q10" s="905">
        <f t="shared" ref="Q10" si="1">C10+D10+E10+F10+G10+H10+I10+J10+K10+L10+M10+N10+O10+P10</f>
        <v>745.32999999999993</v>
      </c>
      <c r="R10" s="914"/>
      <c r="S10" s="910"/>
    </row>
    <row r="11" spans="1:19" s="741" customFormat="1">
      <c r="A11" s="204">
        <v>7</v>
      </c>
      <c r="B11" s="209" t="s">
        <v>17</v>
      </c>
      <c r="C11" s="328">
        <v>407.73</v>
      </c>
      <c r="D11" s="328">
        <v>23</v>
      </c>
      <c r="E11" s="328">
        <v>0</v>
      </c>
      <c r="F11" s="328">
        <v>0</v>
      </c>
      <c r="G11" s="328">
        <v>0</v>
      </c>
      <c r="H11" s="328">
        <v>10</v>
      </c>
      <c r="I11" s="328">
        <v>28.2</v>
      </c>
      <c r="J11" s="328">
        <v>202</v>
      </c>
      <c r="K11" s="328">
        <v>0</v>
      </c>
      <c r="L11" s="328">
        <v>47.25</v>
      </c>
      <c r="M11" s="328">
        <v>0</v>
      </c>
      <c r="N11" s="328">
        <v>0</v>
      </c>
      <c r="O11" s="328">
        <v>0</v>
      </c>
      <c r="P11" s="328">
        <v>100.65</v>
      </c>
      <c r="Q11" s="905">
        <f t="shared" si="0"/>
        <v>818.83</v>
      </c>
      <c r="R11" s="914"/>
      <c r="S11" s="910"/>
    </row>
    <row r="12" spans="1:19" s="357" customFormat="1">
      <c r="A12" s="204">
        <v>8</v>
      </c>
      <c r="B12" s="207" t="s">
        <v>26</v>
      </c>
      <c r="C12" s="328">
        <v>0</v>
      </c>
      <c r="D12" s="328">
        <v>0</v>
      </c>
      <c r="E12" s="328">
        <v>0</v>
      </c>
      <c r="F12" s="328">
        <v>0</v>
      </c>
      <c r="G12" s="328">
        <v>0</v>
      </c>
      <c r="H12" s="328">
        <v>0</v>
      </c>
      <c r="I12" s="328">
        <v>0</v>
      </c>
      <c r="J12" s="328">
        <v>0</v>
      </c>
      <c r="K12" s="328">
        <v>0</v>
      </c>
      <c r="L12" s="328">
        <v>0</v>
      </c>
      <c r="M12" s="328">
        <v>0</v>
      </c>
      <c r="N12" s="328">
        <v>0</v>
      </c>
      <c r="O12" s="328">
        <v>0</v>
      </c>
      <c r="P12" s="328">
        <v>273.60000000000002</v>
      </c>
      <c r="Q12" s="907">
        <f t="shared" si="0"/>
        <v>273.60000000000002</v>
      </c>
      <c r="R12" s="916"/>
      <c r="S12" s="910"/>
    </row>
    <row r="13" spans="1:19">
      <c r="A13" s="204">
        <v>9</v>
      </c>
      <c r="B13" s="207" t="s">
        <v>11</v>
      </c>
      <c r="C13" s="328">
        <v>4.5</v>
      </c>
      <c r="D13" s="328">
        <v>0</v>
      </c>
      <c r="E13" s="328">
        <v>0</v>
      </c>
      <c r="F13" s="328">
        <v>0</v>
      </c>
      <c r="G13" s="328">
        <v>0</v>
      </c>
      <c r="H13" s="328">
        <v>0</v>
      </c>
      <c r="I13" s="328">
        <v>0</v>
      </c>
      <c r="J13" s="328">
        <v>0</v>
      </c>
      <c r="K13" s="328">
        <v>0</v>
      </c>
      <c r="L13" s="328">
        <v>0</v>
      </c>
      <c r="M13" s="328">
        <v>0</v>
      </c>
      <c r="N13" s="328">
        <v>0</v>
      </c>
      <c r="O13" s="328">
        <v>0</v>
      </c>
      <c r="P13" s="328">
        <v>200.19</v>
      </c>
      <c r="Q13" s="907">
        <f t="shared" si="0"/>
        <v>204.69</v>
      </c>
      <c r="R13" s="914"/>
      <c r="S13" s="910"/>
    </row>
    <row r="14" spans="1:19" ht="15.75">
      <c r="A14" s="372">
        <v>10</v>
      </c>
      <c r="B14" s="384" t="s">
        <v>90</v>
      </c>
      <c r="C14" s="377">
        <v>47.14</v>
      </c>
      <c r="D14" s="377">
        <v>0</v>
      </c>
      <c r="E14" s="377">
        <v>0</v>
      </c>
      <c r="F14" s="377">
        <v>0</v>
      </c>
      <c r="G14" s="377">
        <v>0</v>
      </c>
      <c r="H14" s="377">
        <v>0</v>
      </c>
      <c r="I14" s="377">
        <v>0</v>
      </c>
      <c r="J14" s="377">
        <v>0</v>
      </c>
      <c r="K14" s="377">
        <v>0</v>
      </c>
      <c r="L14" s="377">
        <v>0</v>
      </c>
      <c r="M14" s="377">
        <v>9.9</v>
      </c>
      <c r="N14" s="377">
        <v>0</v>
      </c>
      <c r="O14" s="377">
        <v>0</v>
      </c>
      <c r="P14" s="377">
        <v>2.0299999999999998</v>
      </c>
      <c r="Q14" s="906">
        <f>C14+D14+E14+F14+G14+H14+I14+J14+K14+L14+M14+N14+O14+P14</f>
        <v>59.07</v>
      </c>
      <c r="R14" s="915"/>
      <c r="S14" s="910"/>
    </row>
    <row r="15" spans="1:19" ht="15.75">
      <c r="A15" s="372">
        <v>11</v>
      </c>
      <c r="B15" s="384" t="s">
        <v>92</v>
      </c>
      <c r="C15" s="380">
        <v>0.64</v>
      </c>
      <c r="D15" s="377">
        <v>90</v>
      </c>
      <c r="E15" s="377">
        <v>0</v>
      </c>
      <c r="F15" s="377">
        <v>0</v>
      </c>
      <c r="G15" s="377">
        <v>0</v>
      </c>
      <c r="H15" s="377">
        <v>0</v>
      </c>
      <c r="I15" s="377">
        <v>0</v>
      </c>
      <c r="J15" s="377">
        <v>0</v>
      </c>
      <c r="K15" s="377">
        <v>0</v>
      </c>
      <c r="L15" s="377">
        <f>9.36+12.12</f>
        <v>21.479999999999997</v>
      </c>
      <c r="M15" s="377">
        <v>0</v>
      </c>
      <c r="N15" s="377">
        <v>0</v>
      </c>
      <c r="O15" s="377">
        <v>0</v>
      </c>
      <c r="P15" s="377">
        <f>332.06+5</f>
        <v>337.06</v>
      </c>
      <c r="Q15" s="906">
        <f>C15+D15+E15+F15+G15+H15+I15+J15+K15+L15+M15+N15+O15+P15</f>
        <v>449.18</v>
      </c>
      <c r="R15" s="917"/>
      <c r="S15" s="910"/>
    </row>
    <row r="16" spans="1:19" ht="15.75">
      <c r="A16" s="372">
        <v>12</v>
      </c>
      <c r="B16" s="384" t="s">
        <v>51</v>
      </c>
      <c r="C16" s="380">
        <v>1E-4</v>
      </c>
      <c r="D16" s="374">
        <v>0</v>
      </c>
      <c r="E16" s="374">
        <v>0</v>
      </c>
      <c r="F16" s="374">
        <v>0</v>
      </c>
      <c r="G16" s="374">
        <v>0</v>
      </c>
      <c r="H16" s="374">
        <v>0</v>
      </c>
      <c r="I16" s="374">
        <v>0</v>
      </c>
      <c r="J16" s="374">
        <v>0</v>
      </c>
      <c r="K16" s="374">
        <v>0</v>
      </c>
      <c r="L16" s="374">
        <v>0</v>
      </c>
      <c r="M16" s="374">
        <v>0</v>
      </c>
      <c r="N16" s="374">
        <v>0</v>
      </c>
      <c r="O16" s="374">
        <v>0</v>
      </c>
      <c r="P16" s="374">
        <v>0</v>
      </c>
      <c r="Q16" s="906">
        <f>C16+D16+E16+F16+G16+H16+I16+J16+K16+L16+M16+N16+O16+P16</f>
        <v>1E-4</v>
      </c>
      <c r="R16" s="915"/>
      <c r="S16" s="910"/>
    </row>
    <row r="17" spans="1:19" ht="15.75">
      <c r="A17" s="372">
        <v>13</v>
      </c>
      <c r="B17" s="384" t="s">
        <v>52</v>
      </c>
      <c r="C17" s="380">
        <v>1E-4</v>
      </c>
      <c r="D17" s="374">
        <v>0</v>
      </c>
      <c r="E17" s="374">
        <v>0</v>
      </c>
      <c r="F17" s="374">
        <v>0</v>
      </c>
      <c r="G17" s="374">
        <v>0</v>
      </c>
      <c r="H17" s="374">
        <v>0</v>
      </c>
      <c r="I17" s="374">
        <v>0</v>
      </c>
      <c r="J17" s="374">
        <v>0</v>
      </c>
      <c r="K17" s="374">
        <v>0</v>
      </c>
      <c r="L17" s="374">
        <v>0</v>
      </c>
      <c r="M17" s="374">
        <v>0</v>
      </c>
      <c r="N17" s="374">
        <v>0</v>
      </c>
      <c r="O17" s="374">
        <v>0</v>
      </c>
      <c r="P17" s="374">
        <v>1</v>
      </c>
      <c r="Q17" s="906">
        <f>C17+D17+E17+F17+G17+H17+I17+J17+K17+L17+M17+N17+O17+P17</f>
        <v>1.0001</v>
      </c>
      <c r="R17" s="915"/>
      <c r="S17" s="910"/>
    </row>
    <row r="18" spans="1:19" s="357" customFormat="1">
      <c r="A18" s="204">
        <v>14</v>
      </c>
      <c r="B18" s="207" t="s">
        <v>28</v>
      </c>
      <c r="C18" s="328">
        <f>1081.8+316</f>
        <v>1397.8</v>
      </c>
      <c r="D18" s="328">
        <v>0</v>
      </c>
      <c r="E18" s="328">
        <v>0</v>
      </c>
      <c r="F18" s="328">
        <v>0</v>
      </c>
      <c r="G18" s="328">
        <v>0</v>
      </c>
      <c r="H18" s="328">
        <v>0</v>
      </c>
      <c r="I18" s="328">
        <v>0</v>
      </c>
      <c r="J18" s="328">
        <v>50.43</v>
      </c>
      <c r="K18" s="328">
        <v>0</v>
      </c>
      <c r="L18" s="328">
        <v>23.51</v>
      </c>
      <c r="M18" s="328">
        <v>0</v>
      </c>
      <c r="N18" s="328">
        <v>0</v>
      </c>
      <c r="O18" s="328">
        <v>0</v>
      </c>
      <c r="P18" s="328">
        <v>3.3</v>
      </c>
      <c r="Q18" s="907">
        <f t="shared" si="0"/>
        <v>1475.04</v>
      </c>
      <c r="R18" s="916"/>
      <c r="S18" s="910"/>
    </row>
    <row r="19" spans="1:19" s="357" customFormat="1">
      <c r="A19" s="204">
        <v>15</v>
      </c>
      <c r="B19" s="207" t="s">
        <v>10</v>
      </c>
      <c r="C19" s="328">
        <v>3593</v>
      </c>
      <c r="D19" s="662">
        <v>133</v>
      </c>
      <c r="E19" s="662">
        <v>26</v>
      </c>
      <c r="F19" s="662">
        <v>695</v>
      </c>
      <c r="G19" s="662">
        <v>56</v>
      </c>
      <c r="H19" s="662">
        <v>6</v>
      </c>
      <c r="I19" s="662">
        <v>4</v>
      </c>
      <c r="J19" s="662">
        <v>34</v>
      </c>
      <c r="K19" s="662">
        <v>35</v>
      </c>
      <c r="L19" s="662">
        <v>0</v>
      </c>
      <c r="M19" s="662">
        <v>0</v>
      </c>
      <c r="N19" s="662">
        <v>0</v>
      </c>
      <c r="O19" s="328">
        <v>0</v>
      </c>
      <c r="P19" s="662">
        <v>580</v>
      </c>
      <c r="Q19" s="907">
        <f t="shared" si="0"/>
        <v>5162</v>
      </c>
      <c r="R19" s="916"/>
      <c r="S19" s="910"/>
    </row>
    <row r="20" spans="1:19" ht="15.75">
      <c r="A20" s="381">
        <v>16</v>
      </c>
      <c r="B20" s="385" t="s">
        <v>98</v>
      </c>
      <c r="C20" s="377">
        <v>165</v>
      </c>
      <c r="D20" s="377">
        <v>0</v>
      </c>
      <c r="E20" s="377">
        <v>0</v>
      </c>
      <c r="F20" s="377">
        <v>0</v>
      </c>
      <c r="G20" s="377">
        <v>0</v>
      </c>
      <c r="H20" s="377">
        <v>0</v>
      </c>
      <c r="I20" s="377">
        <v>0</v>
      </c>
      <c r="J20" s="377">
        <v>0.89</v>
      </c>
      <c r="K20" s="377">
        <v>0</v>
      </c>
      <c r="L20" s="377">
        <f>12.72+8.96</f>
        <v>21.68</v>
      </c>
      <c r="M20" s="377">
        <v>0</v>
      </c>
      <c r="N20" s="377">
        <v>0</v>
      </c>
      <c r="O20" s="377">
        <v>0</v>
      </c>
      <c r="P20" s="377">
        <v>0</v>
      </c>
      <c r="Q20" s="908">
        <f>C20+D20+E20+F20+G20+H20+I20+J20+K20+L20+M20+N20+O20+P20</f>
        <v>187.57</v>
      </c>
      <c r="R20" s="917"/>
      <c r="S20" s="910"/>
    </row>
    <row r="21" spans="1:19" s="357" customFormat="1" ht="15.75">
      <c r="A21" s="204">
        <v>17</v>
      </c>
      <c r="B21" s="207" t="s">
        <v>35</v>
      </c>
      <c r="C21" s="328">
        <v>29.81</v>
      </c>
      <c r="D21" s="328">
        <v>11.53</v>
      </c>
      <c r="E21" s="328">
        <v>0</v>
      </c>
      <c r="F21" s="328">
        <v>0</v>
      </c>
      <c r="G21" s="328">
        <v>0</v>
      </c>
      <c r="H21" s="328">
        <v>0</v>
      </c>
      <c r="I21" s="328">
        <v>0</v>
      </c>
      <c r="J21" s="328">
        <v>25.27</v>
      </c>
      <c r="K21" s="328">
        <v>0</v>
      </c>
      <c r="L21" s="328">
        <v>29.94</v>
      </c>
      <c r="M21" s="328">
        <v>0.6</v>
      </c>
      <c r="N21" s="328">
        <v>0</v>
      </c>
      <c r="O21" s="328">
        <v>0</v>
      </c>
      <c r="P21" s="328">
        <v>524.44000000000005</v>
      </c>
      <c r="Q21" s="908">
        <f>C21+D21+E21+F21+G21+H21+I21+J21+K21+L21+M21+N21+O21+P21</f>
        <v>621.59</v>
      </c>
      <c r="R21" s="916"/>
      <c r="S21" s="910"/>
    </row>
    <row r="22" spans="1:19" ht="15.75">
      <c r="A22" s="381">
        <v>18</v>
      </c>
      <c r="B22" s="385" t="s">
        <v>54</v>
      </c>
      <c r="C22" s="377">
        <v>188</v>
      </c>
      <c r="D22" s="377">
        <v>94</v>
      </c>
      <c r="E22" s="377">
        <v>0</v>
      </c>
      <c r="F22" s="377">
        <v>0</v>
      </c>
      <c r="G22" s="377">
        <v>0</v>
      </c>
      <c r="H22" s="377">
        <v>0</v>
      </c>
      <c r="I22" s="377">
        <v>594</v>
      </c>
      <c r="J22" s="377">
        <v>23</v>
      </c>
      <c r="K22" s="377">
        <v>0</v>
      </c>
      <c r="L22" s="377">
        <v>22.18</v>
      </c>
      <c r="M22" s="377">
        <v>0</v>
      </c>
      <c r="N22" s="377">
        <v>0</v>
      </c>
      <c r="O22" s="377">
        <v>197</v>
      </c>
      <c r="P22" s="377">
        <v>94</v>
      </c>
      <c r="Q22" s="908">
        <f>C22+D22+E22+F22+G22+H22+I22+J22+K22+L22+M22+N22+O22+P22</f>
        <v>1212.1799999999998</v>
      </c>
      <c r="R22" s="917"/>
      <c r="S22" s="910"/>
    </row>
    <row r="23" spans="1:19" ht="15.75">
      <c r="A23" s="381">
        <v>19</v>
      </c>
      <c r="B23" s="385" t="s">
        <v>102</v>
      </c>
      <c r="C23" s="437">
        <v>63.18</v>
      </c>
      <c r="D23" s="377">
        <v>0</v>
      </c>
      <c r="E23" s="377">
        <v>0</v>
      </c>
      <c r="F23" s="377">
        <v>0</v>
      </c>
      <c r="G23" s="377">
        <v>0</v>
      </c>
      <c r="H23" s="377">
        <v>0</v>
      </c>
      <c r="I23" s="377">
        <v>0</v>
      </c>
      <c r="J23" s="377">
        <v>5.63</v>
      </c>
      <c r="K23" s="377">
        <v>0</v>
      </c>
      <c r="L23" s="377">
        <v>14.78</v>
      </c>
      <c r="M23" s="377">
        <v>6.28</v>
      </c>
      <c r="N23" s="377">
        <v>0</v>
      </c>
      <c r="O23" s="377">
        <v>0</v>
      </c>
      <c r="P23" s="377">
        <v>33.78</v>
      </c>
      <c r="Q23" s="908">
        <f>C23+D23+E23+F23+G23+H23+I23+J23+K23+L23+M23+N23+O23+P23</f>
        <v>123.65</v>
      </c>
      <c r="R23" s="917"/>
      <c r="S23" s="910"/>
    </row>
    <row r="24" spans="1:19" ht="15.75">
      <c r="A24" s="381">
        <v>20</v>
      </c>
      <c r="B24" s="385" t="s">
        <v>104</v>
      </c>
      <c r="C24" s="201">
        <v>223</v>
      </c>
      <c r="D24" s="386">
        <v>11.61</v>
      </c>
      <c r="E24" s="386">
        <v>0</v>
      </c>
      <c r="F24" s="386">
        <v>0</v>
      </c>
      <c r="G24" s="386">
        <v>0</v>
      </c>
      <c r="H24" s="386">
        <v>3</v>
      </c>
      <c r="I24" s="386">
        <v>0</v>
      </c>
      <c r="J24" s="386">
        <v>64.5</v>
      </c>
      <c r="K24" s="386">
        <v>0</v>
      </c>
      <c r="L24" s="386">
        <v>83.02</v>
      </c>
      <c r="M24" s="386">
        <v>0</v>
      </c>
      <c r="N24" s="386">
        <v>0</v>
      </c>
      <c r="O24" s="386">
        <v>27</v>
      </c>
      <c r="P24" s="386">
        <v>1951</v>
      </c>
      <c r="Q24" s="909">
        <f t="shared" ref="Q24" si="2">SUM(C24:P24)</f>
        <v>2363.13</v>
      </c>
      <c r="R24" s="917"/>
      <c r="S24" s="910"/>
    </row>
    <row r="25" spans="1:19" ht="15.75">
      <c r="A25" s="372">
        <v>21</v>
      </c>
      <c r="B25" s="384" t="s">
        <v>106</v>
      </c>
      <c r="C25" s="383">
        <v>1E-4</v>
      </c>
      <c r="D25" s="387">
        <v>0</v>
      </c>
      <c r="E25" s="387">
        <v>0</v>
      </c>
      <c r="F25" s="387">
        <v>0</v>
      </c>
      <c r="G25" s="387">
        <v>0</v>
      </c>
      <c r="H25" s="387">
        <v>0</v>
      </c>
      <c r="I25" s="387">
        <v>0</v>
      </c>
      <c r="J25" s="387">
        <v>0</v>
      </c>
      <c r="K25" s="387">
        <v>0</v>
      </c>
      <c r="L25" s="387">
        <v>0</v>
      </c>
      <c r="M25" s="387">
        <v>0</v>
      </c>
      <c r="N25" s="387">
        <v>0</v>
      </c>
      <c r="O25" s="387">
        <v>0</v>
      </c>
      <c r="P25" s="387">
        <v>0</v>
      </c>
      <c r="Q25" s="906">
        <f>C25+D25+E25+F25+G25+H25+I25+J25+K25+L25+M25+N25+O25+P25</f>
        <v>1E-4</v>
      </c>
      <c r="R25" s="915"/>
      <c r="S25" s="910"/>
    </row>
    <row r="26" spans="1:19" ht="15.75">
      <c r="A26" s="372">
        <v>22</v>
      </c>
      <c r="B26" s="384" t="s">
        <v>481</v>
      </c>
      <c r="C26" s="383">
        <v>0</v>
      </c>
      <c r="D26" s="387">
        <v>0</v>
      </c>
      <c r="E26" s="387">
        <v>0</v>
      </c>
      <c r="F26" s="387">
        <v>0</v>
      </c>
      <c r="G26" s="387">
        <v>0</v>
      </c>
      <c r="H26" s="387">
        <v>0</v>
      </c>
      <c r="I26" s="387">
        <v>0</v>
      </c>
      <c r="J26" s="387">
        <v>0</v>
      </c>
      <c r="K26" s="387">
        <v>0</v>
      </c>
      <c r="L26" s="387">
        <v>4.9000000000000004</v>
      </c>
      <c r="M26" s="387">
        <v>0</v>
      </c>
      <c r="N26" s="387">
        <v>0</v>
      </c>
      <c r="O26" s="387">
        <v>0</v>
      </c>
      <c r="P26" s="387">
        <v>0</v>
      </c>
      <c r="Q26" s="906">
        <f>C26+D26+E26+F26+G26+H26+I26+J26+K26+L26+M26+N26+O26+P26</f>
        <v>4.9000000000000004</v>
      </c>
      <c r="R26" s="915"/>
      <c r="S26" s="910"/>
    </row>
    <row r="27" spans="1:19" ht="15.75">
      <c r="A27" s="372">
        <v>23</v>
      </c>
      <c r="B27" s="384" t="s">
        <v>294</v>
      </c>
      <c r="C27" s="383">
        <v>0</v>
      </c>
      <c r="D27" s="387">
        <v>0</v>
      </c>
      <c r="E27" s="387">
        <v>0</v>
      </c>
      <c r="F27" s="387">
        <v>0</v>
      </c>
      <c r="G27" s="387">
        <v>0</v>
      </c>
      <c r="H27" s="387">
        <v>0</v>
      </c>
      <c r="I27" s="387">
        <v>0</v>
      </c>
      <c r="J27" s="387">
        <v>0</v>
      </c>
      <c r="K27" s="387">
        <v>0</v>
      </c>
      <c r="L27" s="387">
        <v>0</v>
      </c>
      <c r="M27" s="387">
        <v>0</v>
      </c>
      <c r="N27" s="387">
        <v>0</v>
      </c>
      <c r="O27" s="387">
        <v>0</v>
      </c>
      <c r="P27" s="387">
        <v>0</v>
      </c>
      <c r="Q27" s="906">
        <f>C27+D27+E27+F27+G27+H27+I27+J27+K27+L27+M27+N27+O27+P27</f>
        <v>0</v>
      </c>
      <c r="R27" s="915"/>
      <c r="S27" s="910"/>
    </row>
    <row r="28" spans="1:19">
      <c r="A28" s="1667" t="s">
        <v>205</v>
      </c>
      <c r="B28" s="1667"/>
      <c r="C28" s="896">
        <f>SUM(C5:C26)</f>
        <v>6627.0305000000008</v>
      </c>
      <c r="D28" s="330">
        <f t="shared" ref="D28:P28" si="3">SUM(D5:D27)</f>
        <v>477.76</v>
      </c>
      <c r="E28" s="330">
        <f t="shared" si="3"/>
        <v>26</v>
      </c>
      <c r="F28" s="330">
        <f t="shared" si="3"/>
        <v>695</v>
      </c>
      <c r="G28" s="330">
        <f t="shared" si="3"/>
        <v>56</v>
      </c>
      <c r="H28" s="330">
        <f t="shared" si="3"/>
        <v>19</v>
      </c>
      <c r="I28" s="330">
        <f t="shared" si="3"/>
        <v>626.20000000000005</v>
      </c>
      <c r="J28" s="330">
        <f t="shared" si="3"/>
        <v>465.09999999999997</v>
      </c>
      <c r="K28" s="920">
        <f t="shared" si="3"/>
        <v>35</v>
      </c>
      <c r="L28" s="920">
        <f t="shared" si="3"/>
        <v>282.08999999999997</v>
      </c>
      <c r="M28" s="920">
        <f t="shared" si="3"/>
        <v>16.78</v>
      </c>
      <c r="N28" s="920">
        <f t="shared" si="3"/>
        <v>0</v>
      </c>
      <c r="O28" s="920">
        <f t="shared" si="3"/>
        <v>224</v>
      </c>
      <c r="P28" s="330">
        <f t="shared" si="3"/>
        <v>4896.6900000000005</v>
      </c>
      <c r="Q28" s="907">
        <f>SUM(Q5:Q27)</f>
        <v>14445.440399999999</v>
      </c>
      <c r="R28" s="918"/>
      <c r="S28" s="911"/>
    </row>
    <row r="29" spans="1:19">
      <c r="A29" s="204">
        <v>1</v>
      </c>
      <c r="B29" s="207" t="s">
        <v>16</v>
      </c>
      <c r="C29" s="328">
        <v>2476.67</v>
      </c>
      <c r="D29" s="328">
        <v>111.03</v>
      </c>
      <c r="E29" s="328">
        <v>0</v>
      </c>
      <c r="F29" s="328">
        <v>0</v>
      </c>
      <c r="G29" s="328">
        <v>28.69</v>
      </c>
      <c r="H29" s="328">
        <v>0</v>
      </c>
      <c r="I29" s="328">
        <v>0</v>
      </c>
      <c r="J29" s="328">
        <v>21.31</v>
      </c>
      <c r="K29" s="328">
        <v>14.15</v>
      </c>
      <c r="L29" s="328">
        <v>41.18</v>
      </c>
      <c r="M29" s="328">
        <v>4.18</v>
      </c>
      <c r="N29" s="328">
        <v>5.17</v>
      </c>
      <c r="O29" s="328">
        <v>0</v>
      </c>
      <c r="P29" s="328">
        <v>200.12</v>
      </c>
      <c r="Q29" s="907">
        <f t="shared" si="0"/>
        <v>2902.5</v>
      </c>
      <c r="R29" s="919"/>
      <c r="S29" s="912"/>
    </row>
    <row r="30" spans="1:19">
      <c r="A30" s="204">
        <v>1</v>
      </c>
      <c r="B30" s="207" t="s">
        <v>110</v>
      </c>
      <c r="C30" s="201">
        <v>518.16</v>
      </c>
      <c r="D30" s="328">
        <v>227.87</v>
      </c>
      <c r="E30" s="328"/>
      <c r="F30" s="328">
        <v>0</v>
      </c>
      <c r="G30" s="328">
        <v>0</v>
      </c>
      <c r="H30" s="328">
        <v>0</v>
      </c>
      <c r="I30" s="328">
        <v>0</v>
      </c>
      <c r="J30" s="328">
        <v>321.85000000000002</v>
      </c>
      <c r="K30" s="328">
        <v>0</v>
      </c>
      <c r="L30" s="328">
        <v>291.05</v>
      </c>
      <c r="M30" s="328">
        <v>318.87</v>
      </c>
      <c r="N30" s="328">
        <v>0</v>
      </c>
      <c r="O30" s="328">
        <v>0</v>
      </c>
      <c r="P30" s="328">
        <v>6495.8</v>
      </c>
      <c r="Q30" s="907">
        <f t="shared" si="0"/>
        <v>8173.6</v>
      </c>
      <c r="R30" s="919"/>
      <c r="S30" s="912"/>
    </row>
    <row r="31" spans="1:19">
      <c r="A31" s="1671" t="s">
        <v>188</v>
      </c>
      <c r="B31" s="1671"/>
      <c r="C31" s="896">
        <f t="shared" ref="C31:P31" si="4">SUM(C28:C30)</f>
        <v>9621.8605000000007</v>
      </c>
      <c r="D31" s="896">
        <f t="shared" si="4"/>
        <v>816.66</v>
      </c>
      <c r="E31" s="921">
        <f t="shared" si="4"/>
        <v>26</v>
      </c>
      <c r="F31" s="921">
        <f t="shared" si="4"/>
        <v>695</v>
      </c>
      <c r="G31" s="921">
        <f t="shared" si="4"/>
        <v>84.69</v>
      </c>
      <c r="H31" s="921">
        <f t="shared" si="4"/>
        <v>19</v>
      </c>
      <c r="I31" s="921">
        <f t="shared" si="4"/>
        <v>626.20000000000005</v>
      </c>
      <c r="J31" s="921">
        <f t="shared" si="4"/>
        <v>808.26</v>
      </c>
      <c r="K31" s="921">
        <f t="shared" si="4"/>
        <v>49.15</v>
      </c>
      <c r="L31" s="921">
        <f t="shared" si="4"/>
        <v>614.31999999999994</v>
      </c>
      <c r="M31" s="921">
        <f t="shared" si="4"/>
        <v>339.83</v>
      </c>
      <c r="N31" s="921">
        <f t="shared" si="4"/>
        <v>5.17</v>
      </c>
      <c r="O31" s="921">
        <f t="shared" si="4"/>
        <v>224</v>
      </c>
      <c r="P31" s="921">
        <f t="shared" si="4"/>
        <v>11592.61</v>
      </c>
      <c r="Q31" s="907">
        <f t="shared" si="0"/>
        <v>25522.750500000002</v>
      </c>
      <c r="R31" s="918"/>
      <c r="S31" s="911"/>
    </row>
    <row r="32" spans="1:19" s="357" customFormat="1">
      <c r="A32" s="898"/>
      <c r="B32" s="899" t="s">
        <v>119</v>
      </c>
      <c r="C32" s="900">
        <v>0</v>
      </c>
      <c r="D32" s="900">
        <v>0</v>
      </c>
      <c r="E32" s="900">
        <v>0</v>
      </c>
      <c r="F32" s="900">
        <v>0</v>
      </c>
      <c r="G32" s="900">
        <v>0</v>
      </c>
      <c r="H32" s="900">
        <v>0</v>
      </c>
      <c r="I32" s="900">
        <v>0</v>
      </c>
      <c r="J32" s="900">
        <v>0</v>
      </c>
      <c r="K32" s="900">
        <v>0</v>
      </c>
      <c r="L32" s="900">
        <v>0</v>
      </c>
      <c r="M32" s="901">
        <v>0</v>
      </c>
      <c r="N32" s="901">
        <v>0</v>
      </c>
      <c r="O32" s="901">
        <v>0</v>
      </c>
      <c r="P32" s="335">
        <v>43028.3</v>
      </c>
      <c r="Q32" s="907">
        <f t="shared" si="0"/>
        <v>43028.3</v>
      </c>
      <c r="R32" s="919"/>
      <c r="S32" s="913"/>
    </row>
    <row r="33" spans="1:19">
      <c r="A33" s="1672" t="s">
        <v>206</v>
      </c>
      <c r="B33" s="1673"/>
      <c r="C33" s="922">
        <f t="shared" ref="C33:P33" si="5">SUM(C31:C32)</f>
        <v>9621.8605000000007</v>
      </c>
      <c r="D33" s="922">
        <f t="shared" si="5"/>
        <v>816.66</v>
      </c>
      <c r="E33" s="922">
        <f t="shared" si="5"/>
        <v>26</v>
      </c>
      <c r="F33" s="922">
        <f t="shared" si="5"/>
        <v>695</v>
      </c>
      <c r="G33" s="922">
        <f t="shared" si="5"/>
        <v>84.69</v>
      </c>
      <c r="H33" s="922">
        <f t="shared" si="5"/>
        <v>19</v>
      </c>
      <c r="I33" s="922">
        <f t="shared" si="5"/>
        <v>626.20000000000005</v>
      </c>
      <c r="J33" s="922">
        <f t="shared" si="5"/>
        <v>808.26</v>
      </c>
      <c r="K33" s="922">
        <f t="shared" si="5"/>
        <v>49.15</v>
      </c>
      <c r="L33" s="922">
        <f t="shared" si="5"/>
        <v>614.31999999999994</v>
      </c>
      <c r="M33" s="922">
        <f t="shared" si="5"/>
        <v>339.83</v>
      </c>
      <c r="N33" s="922">
        <f t="shared" si="5"/>
        <v>5.17</v>
      </c>
      <c r="O33" s="922">
        <f t="shared" si="5"/>
        <v>224</v>
      </c>
      <c r="P33" s="922">
        <f t="shared" si="5"/>
        <v>54620.91</v>
      </c>
      <c r="Q33" s="907">
        <f t="shared" si="0"/>
        <v>68551.050500000012</v>
      </c>
      <c r="R33" s="918"/>
      <c r="S33" s="911"/>
    </row>
    <row r="34" spans="1:19">
      <c r="A34" s="1669"/>
      <c r="B34" s="1669"/>
      <c r="C34" s="923"/>
      <c r="D34" s="923"/>
      <c r="E34" s="923"/>
      <c r="F34" s="923"/>
      <c r="G34" s="923"/>
      <c r="H34" s="923"/>
      <c r="I34" s="923"/>
      <c r="J34" s="923"/>
      <c r="K34" s="923"/>
      <c r="L34" s="923"/>
      <c r="M34" s="923"/>
      <c r="N34" s="923"/>
      <c r="O34" s="923"/>
      <c r="P34" s="923"/>
      <c r="Q34" s="923"/>
    </row>
    <row r="35" spans="1:19">
      <c r="A35" s="1670" t="s">
        <v>238</v>
      </c>
      <c r="B35" s="1670"/>
      <c r="C35" s="715">
        <v>9682.7903000000006</v>
      </c>
      <c r="D35" s="715">
        <v>740.74</v>
      </c>
      <c r="E35" s="715">
        <v>5.07</v>
      </c>
      <c r="F35" s="715">
        <v>8.36</v>
      </c>
      <c r="G35" s="715">
        <v>206.69</v>
      </c>
      <c r="H35" s="715">
        <v>31.5</v>
      </c>
      <c r="I35" s="715">
        <v>171.64</v>
      </c>
      <c r="J35" s="715">
        <v>844.05</v>
      </c>
      <c r="K35" s="715">
        <v>28.200000000000003</v>
      </c>
      <c r="L35" s="715">
        <v>577.29</v>
      </c>
      <c r="M35" s="715">
        <v>363.68</v>
      </c>
      <c r="N35" s="715">
        <v>23.17</v>
      </c>
      <c r="O35" s="715">
        <v>216.72</v>
      </c>
      <c r="P35" s="715">
        <v>66472.53</v>
      </c>
      <c r="Q35" s="715">
        <v>79372.430300000007</v>
      </c>
    </row>
  </sheetData>
  <mergeCells count="8">
    <mergeCell ref="A34:B34"/>
    <mergeCell ref="A35:B35"/>
    <mergeCell ref="A1:Q1"/>
    <mergeCell ref="A2:Q2"/>
    <mergeCell ref="A3:Q3"/>
    <mergeCell ref="A28:B28"/>
    <mergeCell ref="A31:B31"/>
    <mergeCell ref="A33:B33"/>
  </mergeCells>
  <pageMargins left="0.7" right="0.7" top="0.75" bottom="0.75" header="0.3" footer="0.3"/>
  <pageSetup scale="75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sqref="A1:L1"/>
    </sheetView>
  </sheetViews>
  <sheetFormatPr defaultRowHeight="15"/>
  <cols>
    <col min="2" max="2" width="10.5703125" bestFit="1" customWidth="1"/>
  </cols>
  <sheetData>
    <row r="1" spans="1:12">
      <c r="A1" s="1494">
        <v>64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</row>
    <row r="2" spans="1:12">
      <c r="A2" s="1489" t="s">
        <v>476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</row>
    <row r="3" spans="1:12">
      <c r="A3" s="1501" t="s">
        <v>208</v>
      </c>
      <c r="B3" s="1501"/>
      <c r="C3" s="1501"/>
      <c r="D3" s="1501"/>
      <c r="E3" s="1501"/>
      <c r="F3" s="1501"/>
      <c r="G3" s="1501"/>
      <c r="H3" s="1501"/>
      <c r="I3" s="1501"/>
      <c r="J3" s="1501"/>
      <c r="K3" s="1501"/>
      <c r="L3" s="1501"/>
    </row>
    <row r="4" spans="1:12" ht="38.25">
      <c r="A4" s="210" t="s">
        <v>130</v>
      </c>
      <c r="B4" s="210" t="s">
        <v>131</v>
      </c>
      <c r="C4" s="211" t="s">
        <v>209</v>
      </c>
      <c r="D4" s="212" t="s">
        <v>210</v>
      </c>
      <c r="E4" s="210" t="s">
        <v>211</v>
      </c>
      <c r="F4" s="210" t="s">
        <v>212</v>
      </c>
      <c r="G4" s="210" t="s">
        <v>240</v>
      </c>
      <c r="H4" s="210" t="s">
        <v>214</v>
      </c>
      <c r="I4" s="210" t="s">
        <v>215</v>
      </c>
      <c r="J4" s="210" t="s">
        <v>216</v>
      </c>
      <c r="K4" s="210" t="s">
        <v>217</v>
      </c>
      <c r="L4" s="210" t="s">
        <v>218</v>
      </c>
    </row>
    <row r="5" spans="1:12">
      <c r="A5" s="213">
        <v>1</v>
      </c>
      <c r="B5" s="214" t="s">
        <v>78</v>
      </c>
      <c r="C5" s="215">
        <v>24</v>
      </c>
      <c r="D5" s="216">
        <v>120.22</v>
      </c>
      <c r="E5" s="217">
        <v>9</v>
      </c>
      <c r="F5" s="218">
        <v>6</v>
      </c>
      <c r="G5" s="218">
        <f t="shared" ref="G5:G28" si="0">F5/E5*100</f>
        <v>66.666666666666657</v>
      </c>
      <c r="H5" s="218">
        <f>E5-F5</f>
        <v>3</v>
      </c>
      <c r="I5" s="218">
        <f t="shared" ref="I5:I30" si="1">H5/E5%</f>
        <v>33.333333333333336</v>
      </c>
      <c r="J5" s="218">
        <v>0</v>
      </c>
      <c r="K5" s="218">
        <f t="shared" ref="K5:K32" si="2">J5/D5%</f>
        <v>0</v>
      </c>
      <c r="L5" s="219">
        <v>0</v>
      </c>
    </row>
    <row r="6" spans="1:12">
      <c r="A6" s="213">
        <v>2</v>
      </c>
      <c r="B6" s="214" t="s">
        <v>27</v>
      </c>
      <c r="C6" s="215">
        <v>0</v>
      </c>
      <c r="D6" s="216">
        <v>0</v>
      </c>
      <c r="E6" s="217">
        <v>0</v>
      </c>
      <c r="F6" s="218">
        <v>0</v>
      </c>
      <c r="G6" s="218">
        <v>0</v>
      </c>
      <c r="H6" s="218">
        <v>0</v>
      </c>
      <c r="I6" s="218">
        <v>0</v>
      </c>
      <c r="J6" s="218">
        <v>0</v>
      </c>
      <c r="K6" s="218">
        <v>0</v>
      </c>
      <c r="L6" s="219">
        <v>0</v>
      </c>
    </row>
    <row r="7" spans="1:12">
      <c r="A7" s="388">
        <v>3</v>
      </c>
      <c r="B7" s="389" t="s">
        <v>46</v>
      </c>
      <c r="C7" s="389">
        <v>19</v>
      </c>
      <c r="D7" s="390">
        <v>64.06</v>
      </c>
      <c r="E7" s="390">
        <v>27</v>
      </c>
      <c r="F7" s="390">
        <v>0.8</v>
      </c>
      <c r="G7" s="390">
        <f t="shared" ref="G7" si="3">F7/E7*100</f>
        <v>2.9629629629629632</v>
      </c>
      <c r="H7" s="390">
        <f t="shared" ref="H7" si="4">E7-F7</f>
        <v>26.2</v>
      </c>
      <c r="I7" s="390">
        <f>H7/E7%</f>
        <v>97.037037037037024</v>
      </c>
      <c r="J7" s="390">
        <v>31.64</v>
      </c>
      <c r="K7" s="390">
        <f>J7/D7%</f>
        <v>49.391195753980639</v>
      </c>
      <c r="L7" s="391">
        <v>4</v>
      </c>
    </row>
    <row r="8" spans="1:12" s="357" customFormat="1">
      <c r="A8" s="331">
        <v>4</v>
      </c>
      <c r="B8" s="332" t="s">
        <v>32</v>
      </c>
      <c r="C8" s="333">
        <v>777</v>
      </c>
      <c r="D8" s="547">
        <v>557.64</v>
      </c>
      <c r="E8" s="334">
        <v>204.9</v>
      </c>
      <c r="F8" s="335">
        <v>102.75</v>
      </c>
      <c r="G8" s="335">
        <f t="shared" si="0"/>
        <v>50.146412884333827</v>
      </c>
      <c r="H8" s="335">
        <f t="shared" ref="H8:H33" si="5">E8-F8</f>
        <v>102.15</v>
      </c>
      <c r="I8" s="335">
        <f t="shared" si="1"/>
        <v>49.85358711566618</v>
      </c>
      <c r="J8" s="335">
        <v>2.98</v>
      </c>
      <c r="K8" s="335">
        <f t="shared" si="2"/>
        <v>0.5343949501470483</v>
      </c>
      <c r="L8" s="336">
        <v>34.5</v>
      </c>
    </row>
    <row r="9" spans="1:12">
      <c r="A9" s="388">
        <v>5</v>
      </c>
      <c r="B9" s="389" t="s">
        <v>83</v>
      </c>
      <c r="C9" s="389">
        <v>1</v>
      </c>
      <c r="D9" s="390">
        <v>1.7601</v>
      </c>
      <c r="E9" s="390">
        <v>0</v>
      </c>
      <c r="F9" s="390">
        <v>0</v>
      </c>
      <c r="G9" s="390">
        <v>0</v>
      </c>
      <c r="H9" s="390">
        <f t="shared" si="5"/>
        <v>0</v>
      </c>
      <c r="I9" s="390">
        <v>0</v>
      </c>
      <c r="J9" s="390">
        <v>0</v>
      </c>
      <c r="K9" s="390">
        <v>0</v>
      </c>
      <c r="L9" s="391">
        <v>0</v>
      </c>
    </row>
    <row r="10" spans="1:12" s="741" customFormat="1">
      <c r="A10" s="213">
        <v>6</v>
      </c>
      <c r="B10" s="758" t="s">
        <v>85</v>
      </c>
      <c r="C10" s="215">
        <v>234</v>
      </c>
      <c r="D10" s="216">
        <v>745.32999999999993</v>
      </c>
      <c r="E10" s="217">
        <v>106.4</v>
      </c>
      <c r="F10" s="218">
        <v>40.200000000000003</v>
      </c>
      <c r="G10" s="218">
        <f>F10/E10*100</f>
        <v>37.781954887218042</v>
      </c>
      <c r="H10" s="218">
        <f t="shared" si="5"/>
        <v>66.2</v>
      </c>
      <c r="I10" s="781">
        <f t="shared" ref="I10" si="6">H10/E10%</f>
        <v>62.218045112781951</v>
      </c>
      <c r="J10" s="761">
        <v>58</v>
      </c>
      <c r="K10" s="217">
        <f t="shared" ref="K10" si="7">J10/D10%</f>
        <v>7.7817879328619544</v>
      </c>
      <c r="L10" s="219">
        <v>4.5</v>
      </c>
    </row>
    <row r="11" spans="1:12" s="741" customFormat="1">
      <c r="A11" s="331">
        <v>7</v>
      </c>
      <c r="B11" s="758" t="s">
        <v>17</v>
      </c>
      <c r="C11" s="333">
        <v>1640</v>
      </c>
      <c r="D11" s="216">
        <v>818.83</v>
      </c>
      <c r="E11" s="334">
        <v>475.5</v>
      </c>
      <c r="F11" s="335">
        <v>78.5</v>
      </c>
      <c r="G11" s="335">
        <f t="shared" ref="G11" si="8">F11/E11*100</f>
        <v>16.508937960042061</v>
      </c>
      <c r="H11" s="335">
        <f t="shared" si="5"/>
        <v>397</v>
      </c>
      <c r="I11" s="759">
        <f>H11/E11%</f>
        <v>83.491062039957939</v>
      </c>
      <c r="J11" s="303">
        <v>55</v>
      </c>
      <c r="K11" s="334">
        <f t="shared" si="2"/>
        <v>6.7169009440298968</v>
      </c>
      <c r="L11" s="336">
        <v>17.170000000000002</v>
      </c>
    </row>
    <row r="12" spans="1:12" s="357" customFormat="1">
      <c r="A12" s="331">
        <v>8</v>
      </c>
      <c r="B12" s="332" t="s">
        <v>26</v>
      </c>
      <c r="C12" s="333">
        <v>13</v>
      </c>
      <c r="D12" s="547">
        <v>273.60000000000002</v>
      </c>
      <c r="E12" s="334">
        <v>2.97</v>
      </c>
      <c r="F12" s="335">
        <v>2.48</v>
      </c>
      <c r="G12" s="335">
        <f>F12/E12%</f>
        <v>83.501683501683502</v>
      </c>
      <c r="H12" s="335">
        <f t="shared" si="5"/>
        <v>0.49000000000000021</v>
      </c>
      <c r="I12" s="335">
        <f>H12/E12%</f>
        <v>16.498316498316505</v>
      </c>
      <c r="J12" s="335">
        <v>4.49</v>
      </c>
      <c r="K12" s="335">
        <f t="shared" si="2"/>
        <v>1.6410818713450293</v>
      </c>
      <c r="L12" s="336">
        <v>180.37</v>
      </c>
    </row>
    <row r="13" spans="1:12">
      <c r="A13" s="331">
        <v>9</v>
      </c>
      <c r="B13" s="332" t="s">
        <v>11</v>
      </c>
      <c r="C13" s="333">
        <v>8</v>
      </c>
      <c r="D13" s="216">
        <v>204.69</v>
      </c>
      <c r="E13" s="334">
        <v>0</v>
      </c>
      <c r="F13" s="335">
        <v>0</v>
      </c>
      <c r="G13" s="335">
        <v>0</v>
      </c>
      <c r="H13" s="335">
        <f t="shared" si="5"/>
        <v>0</v>
      </c>
      <c r="I13" s="335">
        <v>0</v>
      </c>
      <c r="J13" s="335">
        <v>0</v>
      </c>
      <c r="K13" s="335">
        <v>0</v>
      </c>
      <c r="L13" s="336">
        <v>8.5500000000000007</v>
      </c>
    </row>
    <row r="14" spans="1:12">
      <c r="A14" s="388">
        <v>10</v>
      </c>
      <c r="B14" s="389" t="s">
        <v>90</v>
      </c>
      <c r="C14" s="389">
        <v>93</v>
      </c>
      <c r="D14" s="390">
        <v>59.07</v>
      </c>
      <c r="E14" s="390">
        <v>62.98</v>
      </c>
      <c r="F14" s="390">
        <v>0</v>
      </c>
      <c r="G14" s="390">
        <f t="shared" ref="G14:G17" si="9">F14/E14*100</f>
        <v>0</v>
      </c>
      <c r="H14" s="390">
        <f t="shared" si="5"/>
        <v>62.98</v>
      </c>
      <c r="I14" s="390">
        <f>H14/E14%</f>
        <v>100.00000000000001</v>
      </c>
      <c r="J14" s="390">
        <v>57.54</v>
      </c>
      <c r="K14" s="390">
        <f t="shared" ref="K14:K15" si="10">J14/D14%</f>
        <v>97.409852717115285</v>
      </c>
      <c r="L14" s="391">
        <v>0</v>
      </c>
    </row>
    <row r="15" spans="1:12">
      <c r="A15" s="388">
        <v>11</v>
      </c>
      <c r="B15" s="389" t="s">
        <v>92</v>
      </c>
      <c r="C15" s="392">
        <v>24</v>
      </c>
      <c r="D15" s="393">
        <v>449.18</v>
      </c>
      <c r="E15" s="393">
        <v>500</v>
      </c>
      <c r="F15" s="393">
        <v>0</v>
      </c>
      <c r="G15" s="390">
        <f t="shared" si="9"/>
        <v>0</v>
      </c>
      <c r="H15" s="390">
        <f t="shared" si="5"/>
        <v>500</v>
      </c>
      <c r="I15" s="393">
        <f>H15/E15%</f>
        <v>100</v>
      </c>
      <c r="J15" s="393">
        <v>0.64</v>
      </c>
      <c r="K15" s="393">
        <f t="shared" si="10"/>
        <v>0.14248185582617212</v>
      </c>
      <c r="L15" s="394">
        <v>55</v>
      </c>
    </row>
    <row r="16" spans="1:12">
      <c r="A16" s="388">
        <v>12</v>
      </c>
      <c r="B16" s="389" t="s">
        <v>51</v>
      </c>
      <c r="C16" s="389">
        <v>0</v>
      </c>
      <c r="D16" s="390">
        <v>1E-4</v>
      </c>
      <c r="E16" s="390">
        <v>0</v>
      </c>
      <c r="F16" s="390">
        <v>0</v>
      </c>
      <c r="G16" s="390">
        <v>0</v>
      </c>
      <c r="H16" s="390">
        <f t="shared" si="5"/>
        <v>0</v>
      </c>
      <c r="I16" s="393">
        <v>0</v>
      </c>
      <c r="J16" s="390">
        <v>0</v>
      </c>
      <c r="K16" s="393">
        <v>0</v>
      </c>
      <c r="L16" s="391">
        <v>0</v>
      </c>
    </row>
    <row r="17" spans="1:12">
      <c r="A17" s="388">
        <v>13</v>
      </c>
      <c r="B17" s="389" t="s">
        <v>52</v>
      </c>
      <c r="C17" s="389">
        <v>1</v>
      </c>
      <c r="D17" s="390">
        <v>1.0001</v>
      </c>
      <c r="E17" s="390">
        <v>0.7</v>
      </c>
      <c r="F17" s="390">
        <v>0.7</v>
      </c>
      <c r="G17" s="390">
        <f t="shared" si="9"/>
        <v>100</v>
      </c>
      <c r="H17" s="390">
        <f t="shared" si="5"/>
        <v>0</v>
      </c>
      <c r="I17" s="393">
        <f t="shared" ref="I17" si="11">H17/E17%</f>
        <v>0</v>
      </c>
      <c r="J17" s="390">
        <v>0</v>
      </c>
      <c r="K17" s="393">
        <v>0</v>
      </c>
      <c r="L17" s="391">
        <v>0</v>
      </c>
    </row>
    <row r="18" spans="1:12" s="357" customFormat="1">
      <c r="A18" s="331">
        <v>14</v>
      </c>
      <c r="B18" s="332" t="s">
        <v>28</v>
      </c>
      <c r="C18" s="333">
        <v>1460</v>
      </c>
      <c r="D18" s="547">
        <v>1475.04</v>
      </c>
      <c r="E18" s="334">
        <v>301</v>
      </c>
      <c r="F18" s="335">
        <v>50</v>
      </c>
      <c r="G18" s="335">
        <f t="shared" si="0"/>
        <v>16.611295681063122</v>
      </c>
      <c r="H18" s="335">
        <f t="shared" si="5"/>
        <v>251</v>
      </c>
      <c r="I18" s="335">
        <f t="shared" si="1"/>
        <v>83.388704318936888</v>
      </c>
      <c r="J18" s="335">
        <v>401</v>
      </c>
      <c r="K18" s="335">
        <f t="shared" si="2"/>
        <v>27.185703438550821</v>
      </c>
      <c r="L18" s="336">
        <v>12.25</v>
      </c>
    </row>
    <row r="19" spans="1:12" s="357" customFormat="1">
      <c r="A19" s="331">
        <v>15</v>
      </c>
      <c r="B19" s="332" t="s">
        <v>10</v>
      </c>
      <c r="C19" s="333">
        <v>6829</v>
      </c>
      <c r="D19" s="547">
        <v>5162</v>
      </c>
      <c r="E19" s="334">
        <v>1604</v>
      </c>
      <c r="F19" s="335">
        <v>780</v>
      </c>
      <c r="G19" s="335">
        <f t="shared" si="0"/>
        <v>48.628428927680801</v>
      </c>
      <c r="H19" s="335">
        <f t="shared" si="5"/>
        <v>824</v>
      </c>
      <c r="I19" s="335">
        <f t="shared" si="1"/>
        <v>51.371571072319206</v>
      </c>
      <c r="J19" s="335">
        <v>1317.17</v>
      </c>
      <c r="K19" s="335">
        <v>1272.1099999999999</v>
      </c>
      <c r="L19" s="336">
        <v>53.23</v>
      </c>
    </row>
    <row r="20" spans="1:12">
      <c r="A20" s="395">
        <v>16</v>
      </c>
      <c r="B20" s="392" t="s">
        <v>98</v>
      </c>
      <c r="C20" s="392">
        <v>229</v>
      </c>
      <c r="D20" s="393">
        <v>187.57</v>
      </c>
      <c r="E20" s="393">
        <v>7.7</v>
      </c>
      <c r="F20" s="393">
        <v>2.25</v>
      </c>
      <c r="G20" s="390">
        <f t="shared" si="0"/>
        <v>29.220779220779221</v>
      </c>
      <c r="H20" s="390">
        <f t="shared" si="5"/>
        <v>5.45</v>
      </c>
      <c r="I20" s="393">
        <f t="shared" si="1"/>
        <v>70.779220779220779</v>
      </c>
      <c r="J20" s="393">
        <f>72.62+3.7</f>
        <v>76.320000000000007</v>
      </c>
      <c r="K20" s="393">
        <f t="shared" ref="K20" si="12">J20/D20%</f>
        <v>40.688809511115856</v>
      </c>
      <c r="L20" s="394">
        <v>0</v>
      </c>
    </row>
    <row r="21" spans="1:12" s="357" customFormat="1">
      <c r="A21" s="331">
        <v>17</v>
      </c>
      <c r="B21" s="332" t="s">
        <v>35</v>
      </c>
      <c r="C21" s="333">
        <v>512</v>
      </c>
      <c r="D21" s="547">
        <v>621.59</v>
      </c>
      <c r="E21" s="334">
        <v>281.89</v>
      </c>
      <c r="F21" s="335">
        <v>12.37</v>
      </c>
      <c r="G21" s="335">
        <f t="shared" si="0"/>
        <v>4.388236546170492</v>
      </c>
      <c r="H21" s="335">
        <f t="shared" si="5"/>
        <v>269.52</v>
      </c>
      <c r="I21" s="335">
        <f t="shared" si="1"/>
        <v>95.611763453829511</v>
      </c>
      <c r="J21" s="335">
        <v>164.02</v>
      </c>
      <c r="K21" s="335">
        <f t="shared" si="2"/>
        <v>26.387168390739877</v>
      </c>
      <c r="L21" s="336">
        <v>137.15</v>
      </c>
    </row>
    <row r="22" spans="1:12">
      <c r="A22" s="395">
        <v>18</v>
      </c>
      <c r="B22" s="392" t="s">
        <v>54</v>
      </c>
      <c r="C22" s="392">
        <v>557</v>
      </c>
      <c r="D22" s="393">
        <v>1212.1799999999998</v>
      </c>
      <c r="E22" s="393">
        <v>300</v>
      </c>
      <c r="F22" s="393">
        <v>50</v>
      </c>
      <c r="G22" s="390">
        <f t="shared" si="0"/>
        <v>16.666666666666664</v>
      </c>
      <c r="H22" s="390">
        <f t="shared" si="5"/>
        <v>250</v>
      </c>
      <c r="I22" s="393">
        <f t="shared" si="1"/>
        <v>83.333333333333329</v>
      </c>
      <c r="J22" s="393">
        <v>150</v>
      </c>
      <c r="K22" s="393">
        <f>J22/D22%</f>
        <v>12.374399841607683</v>
      </c>
      <c r="L22" s="394">
        <v>5</v>
      </c>
    </row>
    <row r="23" spans="1:12">
      <c r="A23" s="388">
        <v>19</v>
      </c>
      <c r="B23" s="389" t="s">
        <v>102</v>
      </c>
      <c r="C23" s="392">
        <v>112</v>
      </c>
      <c r="D23" s="393">
        <v>123.65</v>
      </c>
      <c r="E23" s="393">
        <v>96.49</v>
      </c>
      <c r="F23" s="393">
        <v>5.6</v>
      </c>
      <c r="G23" s="390">
        <f t="shared" si="0"/>
        <v>5.8037102290392788</v>
      </c>
      <c r="H23" s="390">
        <f t="shared" si="5"/>
        <v>90.89</v>
      </c>
      <c r="I23" s="393">
        <f t="shared" si="1"/>
        <v>94.196289770960718</v>
      </c>
      <c r="J23" s="393">
        <v>1.54</v>
      </c>
      <c r="K23" s="393">
        <f>J23/D23%</f>
        <v>1.2454508693894055</v>
      </c>
      <c r="L23" s="394">
        <v>1.88</v>
      </c>
    </row>
    <row r="24" spans="1:12">
      <c r="A24" s="395">
        <v>20</v>
      </c>
      <c r="B24" s="392" t="s">
        <v>104</v>
      </c>
      <c r="C24" s="392">
        <v>159</v>
      </c>
      <c r="D24" s="393">
        <v>2363.13</v>
      </c>
      <c r="E24" s="393">
        <v>152</v>
      </c>
      <c r="F24" s="393">
        <v>35</v>
      </c>
      <c r="G24" s="390">
        <f t="shared" si="0"/>
        <v>23.026315789473685</v>
      </c>
      <c r="H24" s="390">
        <f t="shared" si="5"/>
        <v>117</v>
      </c>
      <c r="I24" s="393">
        <f t="shared" si="1"/>
        <v>76.973684210526315</v>
      </c>
      <c r="J24" s="393">
        <v>152</v>
      </c>
      <c r="K24" s="393">
        <f t="shared" si="2"/>
        <v>6.432147194610538</v>
      </c>
      <c r="L24" s="394">
        <v>74</v>
      </c>
    </row>
    <row r="25" spans="1:12">
      <c r="A25" s="388">
        <v>21</v>
      </c>
      <c r="B25" s="389" t="s">
        <v>106</v>
      </c>
      <c r="C25" s="389">
        <v>0</v>
      </c>
      <c r="D25" s="390">
        <v>1E-4</v>
      </c>
      <c r="E25" s="390">
        <v>0</v>
      </c>
      <c r="F25" s="390">
        <v>0</v>
      </c>
      <c r="G25" s="390">
        <v>0</v>
      </c>
      <c r="H25" s="390">
        <f t="shared" si="5"/>
        <v>0</v>
      </c>
      <c r="I25" s="393">
        <v>0</v>
      </c>
      <c r="J25" s="390">
        <v>0</v>
      </c>
      <c r="K25" s="390">
        <f t="shared" si="2"/>
        <v>0</v>
      </c>
      <c r="L25" s="391">
        <v>0</v>
      </c>
    </row>
    <row r="26" spans="1:12">
      <c r="A26" s="388">
        <v>22</v>
      </c>
      <c r="B26" s="396" t="s">
        <v>75</v>
      </c>
      <c r="C26" s="389">
        <v>1</v>
      </c>
      <c r="D26" s="390">
        <v>4.9000000000000004</v>
      </c>
      <c r="E26" s="390">
        <v>0.38</v>
      </c>
      <c r="F26" s="390">
        <v>0.38</v>
      </c>
      <c r="G26" s="390">
        <f t="shared" si="0"/>
        <v>100</v>
      </c>
      <c r="H26" s="390">
        <f t="shared" si="5"/>
        <v>0</v>
      </c>
      <c r="I26" s="393">
        <f t="shared" si="1"/>
        <v>0</v>
      </c>
      <c r="J26" s="390">
        <v>0</v>
      </c>
      <c r="K26" s="390">
        <v>0</v>
      </c>
      <c r="L26" s="391">
        <v>4.9000000000000004</v>
      </c>
    </row>
    <row r="27" spans="1:12">
      <c r="A27" s="388">
        <v>23</v>
      </c>
      <c r="B27" s="396" t="s">
        <v>294</v>
      </c>
      <c r="C27" s="389">
        <v>0</v>
      </c>
      <c r="D27" s="390">
        <v>0</v>
      </c>
      <c r="E27" s="390">
        <v>0</v>
      </c>
      <c r="F27" s="390">
        <v>0</v>
      </c>
      <c r="G27" s="390">
        <v>0</v>
      </c>
      <c r="H27" s="390">
        <f t="shared" si="5"/>
        <v>0</v>
      </c>
      <c r="I27" s="393">
        <v>0</v>
      </c>
      <c r="J27" s="390">
        <v>0</v>
      </c>
      <c r="K27" s="390">
        <v>0</v>
      </c>
      <c r="L27" s="391">
        <v>0</v>
      </c>
    </row>
    <row r="28" spans="1:12" s="357" customFormat="1">
      <c r="A28" s="888" t="s">
        <v>113</v>
      </c>
      <c r="B28" s="658" t="s">
        <v>13</v>
      </c>
      <c r="C28" s="889">
        <f>SUM(C5:C27)</f>
        <v>12693</v>
      </c>
      <c r="D28" s="890">
        <v>14445.440399999999</v>
      </c>
      <c r="E28" s="891">
        <f>SUM(E5:E27)</f>
        <v>4132.9099999999989</v>
      </c>
      <c r="F28" s="891">
        <f>SUM(F5:F27)</f>
        <v>1167.0299999999997</v>
      </c>
      <c r="G28" s="335">
        <f t="shared" si="0"/>
        <v>28.237488839582763</v>
      </c>
      <c r="H28" s="891">
        <f t="shared" si="5"/>
        <v>2965.8799999999992</v>
      </c>
      <c r="I28" s="335">
        <f t="shared" si="1"/>
        <v>71.762511160417233</v>
      </c>
      <c r="J28" s="891">
        <f>SUM(J5:J27)</f>
        <v>2472.34</v>
      </c>
      <c r="K28" s="335">
        <f t="shared" si="2"/>
        <v>17.115019906212069</v>
      </c>
      <c r="L28" s="891">
        <f>SUM(L5:L27)</f>
        <v>592.5</v>
      </c>
    </row>
    <row r="29" spans="1:12" s="357" customFormat="1">
      <c r="A29" s="331">
        <v>1</v>
      </c>
      <c r="B29" s="332" t="s">
        <v>16</v>
      </c>
      <c r="C29" s="332">
        <v>3482</v>
      </c>
      <c r="D29" s="335">
        <v>2902.5</v>
      </c>
      <c r="E29" s="335">
        <v>232.39</v>
      </c>
      <c r="F29" s="335">
        <v>135.86000000000001</v>
      </c>
      <c r="G29" s="335">
        <f>F29/E29%</f>
        <v>58.46206807521839</v>
      </c>
      <c r="H29" s="335">
        <f t="shared" si="5"/>
        <v>96.529999999999973</v>
      </c>
      <c r="I29" s="335">
        <f t="shared" si="1"/>
        <v>41.537931924781603</v>
      </c>
      <c r="J29" s="335">
        <v>36.86</v>
      </c>
      <c r="K29" s="335">
        <f t="shared" si="2"/>
        <v>1.2699397071490095</v>
      </c>
      <c r="L29" s="336">
        <v>165.97</v>
      </c>
    </row>
    <row r="30" spans="1:12" s="357" customFormat="1">
      <c r="A30" s="331">
        <v>1</v>
      </c>
      <c r="B30" s="332" t="s">
        <v>110</v>
      </c>
      <c r="C30" s="332">
        <v>11148</v>
      </c>
      <c r="D30" s="335">
        <v>8173.6</v>
      </c>
      <c r="E30" s="335">
        <v>1160.5</v>
      </c>
      <c r="F30" s="335">
        <v>465.4</v>
      </c>
      <c r="G30" s="335">
        <f>F30/E30%</f>
        <v>40.103403705299435</v>
      </c>
      <c r="H30" s="335">
        <f t="shared" si="5"/>
        <v>695.1</v>
      </c>
      <c r="I30" s="335">
        <f t="shared" si="1"/>
        <v>59.896596294700558</v>
      </c>
      <c r="J30" s="335">
        <v>4230.5</v>
      </c>
      <c r="K30" s="335">
        <f t="shared" si="2"/>
        <v>51.758099246354114</v>
      </c>
      <c r="L30" s="336">
        <v>0</v>
      </c>
    </row>
    <row r="31" spans="1:12" s="357" customFormat="1">
      <c r="A31" s="1676" t="s">
        <v>188</v>
      </c>
      <c r="B31" s="1676"/>
      <c r="C31" s="889">
        <f>SUM(C28:C30)</f>
        <v>27323</v>
      </c>
      <c r="D31" s="891">
        <v>25522.750500000002</v>
      </c>
      <c r="E31" s="891">
        <f t="shared" ref="E31:L31" si="13">SUM(E28:E30)</f>
        <v>5525.7999999999993</v>
      </c>
      <c r="F31" s="891">
        <f t="shared" si="13"/>
        <v>1768.29</v>
      </c>
      <c r="G31" s="891">
        <f>F31/E31%</f>
        <v>32.00061529552282</v>
      </c>
      <c r="H31" s="891">
        <f t="shared" si="5"/>
        <v>3757.5099999999993</v>
      </c>
      <c r="I31" s="891">
        <f>100-G31</f>
        <v>67.99938470447718</v>
      </c>
      <c r="J31" s="891">
        <f t="shared" si="13"/>
        <v>6739.7000000000007</v>
      </c>
      <c r="K31" s="891">
        <f t="shared" si="2"/>
        <v>26.4066366985016</v>
      </c>
      <c r="L31" s="891">
        <f t="shared" si="13"/>
        <v>758.47</v>
      </c>
    </row>
    <row r="32" spans="1:12" s="357" customFormat="1">
      <c r="A32" s="658"/>
      <c r="B32" s="332" t="s">
        <v>119</v>
      </c>
      <c r="C32" s="659">
        <v>0</v>
      </c>
      <c r="D32" s="335">
        <v>43028.3</v>
      </c>
      <c r="E32" s="335">
        <v>1E-3</v>
      </c>
      <c r="F32" s="335">
        <v>1E-3</v>
      </c>
      <c r="G32" s="335">
        <v>0</v>
      </c>
      <c r="H32" s="335">
        <f t="shared" si="5"/>
        <v>0</v>
      </c>
      <c r="I32" s="335">
        <f>H32/E32%</f>
        <v>0</v>
      </c>
      <c r="J32" s="335">
        <v>0</v>
      </c>
      <c r="K32" s="335">
        <f t="shared" si="2"/>
        <v>0</v>
      </c>
      <c r="L32" s="335">
        <v>0</v>
      </c>
    </row>
    <row r="33" spans="1:12" s="357" customFormat="1">
      <c r="A33" s="1677" t="s">
        <v>206</v>
      </c>
      <c r="B33" s="1678"/>
      <c r="C33" s="889">
        <f>SUM(C31:C32)</f>
        <v>27323</v>
      </c>
      <c r="D33" s="891">
        <v>68551.050500000012</v>
      </c>
      <c r="E33" s="891">
        <f>SUM(E31:E32)</f>
        <v>5525.8009999999995</v>
      </c>
      <c r="F33" s="892">
        <f>SUM(F31:F32)</f>
        <v>1768.2909999999999</v>
      </c>
      <c r="G33" s="891">
        <f>F33/E33%</f>
        <v>32.000627601319707</v>
      </c>
      <c r="H33" s="891">
        <f t="shared" si="5"/>
        <v>3757.5099999999993</v>
      </c>
      <c r="I33" s="891">
        <f>100-G33</f>
        <v>67.999372398680293</v>
      </c>
      <c r="J33" s="891">
        <f>SUM(J31:J32)</f>
        <v>6739.7000000000007</v>
      </c>
      <c r="K33" s="891">
        <f>J33/D33%</f>
        <v>9.8316509387409017</v>
      </c>
      <c r="L33" s="891">
        <f>SUM(L31:L32)</f>
        <v>758.47</v>
      </c>
    </row>
    <row r="34" spans="1:12" s="357" customFormat="1">
      <c r="A34" s="1674" t="s">
        <v>241</v>
      </c>
      <c r="B34" s="1675"/>
      <c r="C34" s="889">
        <v>31304</v>
      </c>
      <c r="D34" s="891">
        <v>79372.429999999993</v>
      </c>
      <c r="E34" s="893">
        <v>5273.3809999999994</v>
      </c>
      <c r="F34" s="894">
        <v>1743.3810000000001</v>
      </c>
      <c r="G34" s="895">
        <v>33.060023540874447</v>
      </c>
      <c r="H34" s="891">
        <v>3529.9999999999991</v>
      </c>
      <c r="I34" s="891">
        <v>66.939976459125546</v>
      </c>
      <c r="J34" s="891">
        <v>3527.19</v>
      </c>
      <c r="K34" s="891">
        <v>4.4438478197026354</v>
      </c>
      <c r="L34" s="891">
        <v>4530.5</v>
      </c>
    </row>
  </sheetData>
  <mergeCells count="6">
    <mergeCell ref="A34:B34"/>
    <mergeCell ref="A1:L1"/>
    <mergeCell ref="A2:L2"/>
    <mergeCell ref="A3:L3"/>
    <mergeCell ref="A31:B31"/>
    <mergeCell ref="A33:B33"/>
  </mergeCells>
  <pageMargins left="0.7" right="0.7" top="0.75" bottom="0.75" header="0.3" footer="0.3"/>
  <pageSetup scale="93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sqref="A1:L1"/>
    </sheetView>
  </sheetViews>
  <sheetFormatPr defaultRowHeight="15"/>
  <sheetData>
    <row r="1" spans="1:12">
      <c r="A1" s="1494">
        <v>65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</row>
    <row r="2" spans="1:12" ht="15.75">
      <c r="A2" s="1506" t="s">
        <v>631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</row>
    <row r="3" spans="1:12">
      <c r="A3" s="1501" t="s">
        <v>208</v>
      </c>
      <c r="B3" s="1501"/>
      <c r="C3" s="1501"/>
      <c r="D3" s="1501"/>
      <c r="E3" s="1501"/>
      <c r="F3" s="1501"/>
      <c r="G3" s="1501"/>
      <c r="H3" s="1501"/>
      <c r="I3" s="1501"/>
      <c r="J3" s="1501"/>
      <c r="K3" s="1501"/>
      <c r="L3" s="1501"/>
    </row>
    <row r="4" spans="1:12" ht="38.25">
      <c r="A4" s="173" t="s">
        <v>130</v>
      </c>
      <c r="B4" s="174" t="s">
        <v>131</v>
      </c>
      <c r="C4" s="220" t="s">
        <v>209</v>
      </c>
      <c r="D4" s="220" t="s">
        <v>210</v>
      </c>
      <c r="E4" s="220" t="s">
        <v>211</v>
      </c>
      <c r="F4" s="220" t="s">
        <v>212</v>
      </c>
      <c r="G4" s="220" t="s">
        <v>213</v>
      </c>
      <c r="H4" s="220" t="s">
        <v>214</v>
      </c>
      <c r="I4" s="220" t="s">
        <v>215</v>
      </c>
      <c r="J4" s="220" t="s">
        <v>216</v>
      </c>
      <c r="K4" s="220" t="s">
        <v>217</v>
      </c>
      <c r="L4" s="220" t="s">
        <v>218</v>
      </c>
    </row>
    <row r="5" spans="1:12">
      <c r="A5" s="175">
        <v>1</v>
      </c>
      <c r="B5" s="221" t="s">
        <v>78</v>
      </c>
      <c r="C5" s="222">
        <v>6</v>
      </c>
      <c r="D5" s="176">
        <v>1525</v>
      </c>
      <c r="E5" s="177">
        <v>22</v>
      </c>
      <c r="F5" s="177">
        <v>22</v>
      </c>
      <c r="G5" s="223">
        <f>F5/E5%</f>
        <v>100</v>
      </c>
      <c r="H5" s="224">
        <f>E5-F5</f>
        <v>0</v>
      </c>
      <c r="I5" s="223">
        <f>H5/E5%</f>
        <v>0</v>
      </c>
      <c r="J5" s="177">
        <v>0</v>
      </c>
      <c r="K5" s="224">
        <f>J5/D5%</f>
        <v>0</v>
      </c>
      <c r="L5" s="176">
        <v>0</v>
      </c>
    </row>
    <row r="6" spans="1:12" s="344" customFormat="1">
      <c r="A6" s="449">
        <v>2</v>
      </c>
      <c r="B6" s="451" t="s">
        <v>27</v>
      </c>
      <c r="C6" s="451">
        <v>26</v>
      </c>
      <c r="D6" s="455">
        <f>1727.75+26.43</f>
        <v>1754.18</v>
      </c>
      <c r="E6" s="453">
        <v>612.12</v>
      </c>
      <c r="F6" s="453">
        <v>600</v>
      </c>
      <c r="G6" s="456">
        <f>F6/E6%</f>
        <v>98.019996079200155</v>
      </c>
      <c r="H6" s="454">
        <f>E6-F6</f>
        <v>12.120000000000005</v>
      </c>
      <c r="I6" s="456">
        <f>H6/E6%</f>
        <v>1.9800039207998439</v>
      </c>
      <c r="J6" s="453">
        <v>0.05</v>
      </c>
      <c r="K6" s="454">
        <f>J6/D6%</f>
        <v>2.8503346292854778E-3</v>
      </c>
      <c r="L6" s="453">
        <v>22.64</v>
      </c>
    </row>
    <row r="7" spans="1:12">
      <c r="A7" s="397">
        <v>3</v>
      </c>
      <c r="B7" s="398" t="s">
        <v>46</v>
      </c>
      <c r="C7" s="398">
        <v>44</v>
      </c>
      <c r="D7" s="399">
        <v>36.090000000000003</v>
      </c>
      <c r="E7" s="400">
        <v>12</v>
      </c>
      <c r="F7" s="400">
        <v>0</v>
      </c>
      <c r="G7" s="401">
        <f>F7/E7%</f>
        <v>0</v>
      </c>
      <c r="H7" s="400">
        <f>E7-F7</f>
        <v>12</v>
      </c>
      <c r="I7" s="401">
        <f>H7/E7%</f>
        <v>100</v>
      </c>
      <c r="J7" s="400">
        <v>3</v>
      </c>
      <c r="K7" s="400">
        <f>J7/D7%</f>
        <v>8.3125519534497077</v>
      </c>
      <c r="L7" s="400">
        <v>20</v>
      </c>
    </row>
    <row r="8" spans="1:12" s="344" customFormat="1">
      <c r="A8" s="449">
        <v>4</v>
      </c>
      <c r="B8" s="451" t="s">
        <v>32</v>
      </c>
      <c r="C8" s="451">
        <v>16</v>
      </c>
      <c r="D8" s="452">
        <v>320.76</v>
      </c>
      <c r="E8" s="454">
        <v>0</v>
      </c>
      <c r="F8" s="454">
        <v>0</v>
      </c>
      <c r="G8" s="456">
        <v>0</v>
      </c>
      <c r="H8" s="454">
        <f t="shared" ref="H8:H30" si="0">E8-F8</f>
        <v>0</v>
      </c>
      <c r="I8" s="456">
        <v>0</v>
      </c>
      <c r="J8" s="454">
        <v>0</v>
      </c>
      <c r="K8" s="454">
        <f t="shared" ref="K8:K30" si="1">J8/D8%</f>
        <v>0</v>
      </c>
      <c r="L8" s="454">
        <v>0</v>
      </c>
    </row>
    <row r="9" spans="1:12">
      <c r="A9" s="397">
        <v>5</v>
      </c>
      <c r="B9" s="398" t="s">
        <v>83</v>
      </c>
      <c r="C9" s="398">
        <v>2</v>
      </c>
      <c r="D9" s="399">
        <v>19</v>
      </c>
      <c r="E9" s="400">
        <v>0</v>
      </c>
      <c r="F9" s="400">
        <v>0</v>
      </c>
      <c r="G9" s="401">
        <v>0</v>
      </c>
      <c r="H9" s="400">
        <v>0</v>
      </c>
      <c r="I9" s="401">
        <v>0</v>
      </c>
      <c r="J9" s="400">
        <v>0</v>
      </c>
      <c r="K9" s="400">
        <v>0</v>
      </c>
      <c r="L9" s="400">
        <v>19</v>
      </c>
    </row>
    <row r="10" spans="1:12" s="741" customFormat="1">
      <c r="A10" s="751">
        <v>6</v>
      </c>
      <c r="B10" s="221" t="s">
        <v>85</v>
      </c>
      <c r="C10" s="221">
        <v>39</v>
      </c>
      <c r="D10" s="756">
        <v>486.47</v>
      </c>
      <c r="E10" s="224">
        <v>3.7</v>
      </c>
      <c r="F10" s="224">
        <v>1.57</v>
      </c>
      <c r="G10" s="223">
        <f t="shared" ref="G10" si="2">F10/E10%</f>
        <v>42.432432432432428</v>
      </c>
      <c r="H10" s="224">
        <f t="shared" ref="H10" si="3">E10-F10</f>
        <v>2.13</v>
      </c>
      <c r="I10" s="782">
        <f>H10/E10%</f>
        <v>57.567567567567558</v>
      </c>
      <c r="J10" s="327">
        <v>0</v>
      </c>
      <c r="K10" s="756">
        <f t="shared" ref="K10" si="4">J10/D10%</f>
        <v>0</v>
      </c>
      <c r="L10" s="783">
        <v>0</v>
      </c>
    </row>
    <row r="11" spans="1:12" s="741" customFormat="1">
      <c r="A11" s="449">
        <v>7</v>
      </c>
      <c r="B11" s="451" t="s">
        <v>17</v>
      </c>
      <c r="C11" s="451">
        <v>153</v>
      </c>
      <c r="D11" s="452">
        <v>399.42</v>
      </c>
      <c r="E11" s="454">
        <v>33.9</v>
      </c>
      <c r="F11" s="454">
        <v>15.05</v>
      </c>
      <c r="G11" s="456">
        <f t="shared" ref="G11:G24" si="5">F11/E11%</f>
        <v>44.39528023598821</v>
      </c>
      <c r="H11" s="454">
        <f t="shared" si="0"/>
        <v>18.849999999999998</v>
      </c>
      <c r="I11" s="760">
        <f>H11/E11%</f>
        <v>55.604719764011797</v>
      </c>
      <c r="J11" s="761">
        <v>25.6</v>
      </c>
      <c r="K11" s="452">
        <f t="shared" si="1"/>
        <v>6.4092934755395321</v>
      </c>
      <c r="L11" s="762">
        <v>0</v>
      </c>
    </row>
    <row r="12" spans="1:12" s="344" customFormat="1">
      <c r="A12" s="449">
        <v>8</v>
      </c>
      <c r="B12" s="451" t="s">
        <v>26</v>
      </c>
      <c r="C12" s="451">
        <v>139</v>
      </c>
      <c r="D12" s="452">
        <v>767.44</v>
      </c>
      <c r="E12" s="454">
        <v>56.72</v>
      </c>
      <c r="F12" s="454">
        <v>51.08</v>
      </c>
      <c r="G12" s="456">
        <f>F12/E12%</f>
        <v>90.056417489421719</v>
      </c>
      <c r="H12" s="454">
        <f>E12-F12</f>
        <v>5.6400000000000006</v>
      </c>
      <c r="I12" s="456">
        <f>H12/E12%</f>
        <v>9.9435825105782794</v>
      </c>
      <c r="J12" s="454">
        <v>51.95</v>
      </c>
      <c r="K12" s="454">
        <f t="shared" si="1"/>
        <v>6.7692588345668714</v>
      </c>
      <c r="L12" s="454">
        <v>536.66</v>
      </c>
    </row>
    <row r="13" spans="1:12" s="344" customFormat="1">
      <c r="A13" s="449">
        <v>9</v>
      </c>
      <c r="B13" s="451" t="s">
        <v>11</v>
      </c>
      <c r="C13" s="451">
        <v>8</v>
      </c>
      <c r="D13" s="452">
        <v>55.51</v>
      </c>
      <c r="E13" s="454">
        <v>0</v>
      </c>
      <c r="F13" s="454">
        <v>0</v>
      </c>
      <c r="G13" s="456">
        <v>0</v>
      </c>
      <c r="H13" s="454">
        <f>E13-F13</f>
        <v>0</v>
      </c>
      <c r="I13" s="456">
        <v>0</v>
      </c>
      <c r="J13" s="454">
        <v>0</v>
      </c>
      <c r="K13" s="454">
        <v>0</v>
      </c>
      <c r="L13" s="454">
        <v>0</v>
      </c>
    </row>
    <row r="14" spans="1:12">
      <c r="A14" s="402">
        <v>10</v>
      </c>
      <c r="B14" s="398" t="s">
        <v>90</v>
      </c>
      <c r="C14" s="398">
        <v>0</v>
      </c>
      <c r="D14" s="399">
        <v>0</v>
      </c>
      <c r="E14" s="400">
        <v>0</v>
      </c>
      <c r="F14" s="400">
        <v>0</v>
      </c>
      <c r="G14" s="401">
        <v>0</v>
      </c>
      <c r="H14" s="400">
        <v>0</v>
      </c>
      <c r="I14" s="401">
        <v>0</v>
      </c>
      <c r="J14" s="400">
        <v>0</v>
      </c>
      <c r="K14" s="400">
        <v>0</v>
      </c>
      <c r="L14" s="400">
        <v>0</v>
      </c>
    </row>
    <row r="15" spans="1:12">
      <c r="A15" s="397">
        <v>11</v>
      </c>
      <c r="B15" s="398" t="s">
        <v>92</v>
      </c>
      <c r="C15" s="403">
        <f>27+25</f>
        <v>52</v>
      </c>
      <c r="D15" s="404">
        <f>165+65</f>
        <v>230</v>
      </c>
      <c r="E15" s="405">
        <v>8.93</v>
      </c>
      <c r="F15" s="405">
        <v>0</v>
      </c>
      <c r="G15" s="406">
        <f>F15/E15%</f>
        <v>0</v>
      </c>
      <c r="H15" s="405">
        <f>E15-F15</f>
        <v>8.93</v>
      </c>
      <c r="I15" s="406">
        <f>H15/E15%</f>
        <v>100.00000000000001</v>
      </c>
      <c r="J15" s="405">
        <v>8.93</v>
      </c>
      <c r="K15" s="405">
        <f>J15/D15%</f>
        <v>3.8826086956521739</v>
      </c>
      <c r="L15" s="405">
        <v>70.77</v>
      </c>
    </row>
    <row r="16" spans="1:12">
      <c r="A16" s="397">
        <v>12</v>
      </c>
      <c r="B16" s="398" t="s">
        <v>51</v>
      </c>
      <c r="C16" s="398">
        <v>8</v>
      </c>
      <c r="D16" s="399">
        <v>30.78</v>
      </c>
      <c r="E16" s="400">
        <v>7</v>
      </c>
      <c r="F16" s="400">
        <v>0.06</v>
      </c>
      <c r="G16" s="401">
        <f>F16/E16%</f>
        <v>0.85714285714285698</v>
      </c>
      <c r="H16" s="400">
        <f>E16-F16</f>
        <v>6.94</v>
      </c>
      <c r="I16" s="401">
        <f>H16/E16%</f>
        <v>99.142857142857139</v>
      </c>
      <c r="J16" s="400">
        <v>10.53</v>
      </c>
      <c r="K16" s="400">
        <f>J16/D16%</f>
        <v>34.210526315789473</v>
      </c>
      <c r="L16" s="400">
        <v>12.21</v>
      </c>
    </row>
    <row r="17" spans="1:12">
      <c r="A17" s="402">
        <v>13</v>
      </c>
      <c r="B17" s="398" t="s">
        <v>52</v>
      </c>
      <c r="C17" s="398">
        <v>10</v>
      </c>
      <c r="D17" s="399">
        <v>17.260000000000002</v>
      </c>
      <c r="E17" s="400">
        <v>6.86</v>
      </c>
      <c r="F17" s="400">
        <v>0</v>
      </c>
      <c r="G17" s="401">
        <v>0</v>
      </c>
      <c r="H17" s="400">
        <f>E17-F17</f>
        <v>6.86</v>
      </c>
      <c r="I17" s="401">
        <v>0</v>
      </c>
      <c r="J17" s="400">
        <v>6.86</v>
      </c>
      <c r="K17" s="400">
        <f>J17/D17%</f>
        <v>39.74507531865585</v>
      </c>
      <c r="L17" s="400">
        <v>0</v>
      </c>
    </row>
    <row r="18" spans="1:12" s="344" customFormat="1">
      <c r="A18" s="449">
        <v>14</v>
      </c>
      <c r="B18" s="451" t="s">
        <v>28</v>
      </c>
      <c r="C18" s="451">
        <v>0</v>
      </c>
      <c r="D18" s="452">
        <v>0</v>
      </c>
      <c r="E18" s="454">
        <v>0</v>
      </c>
      <c r="F18" s="454">
        <v>0</v>
      </c>
      <c r="G18" s="456">
        <v>0</v>
      </c>
      <c r="H18" s="454">
        <f t="shared" si="0"/>
        <v>0</v>
      </c>
      <c r="I18" s="456">
        <v>0</v>
      </c>
      <c r="J18" s="454">
        <v>0</v>
      </c>
      <c r="K18" s="454">
        <v>0</v>
      </c>
      <c r="L18" s="454">
        <v>0</v>
      </c>
    </row>
    <row r="19" spans="1:12" s="357" customFormat="1">
      <c r="A19" s="449">
        <v>15</v>
      </c>
      <c r="B19" s="451" t="s">
        <v>10</v>
      </c>
      <c r="C19" s="451">
        <v>817</v>
      </c>
      <c r="D19" s="452">
        <v>2298</v>
      </c>
      <c r="E19" s="454">
        <v>690</v>
      </c>
      <c r="F19" s="454">
        <v>290</v>
      </c>
      <c r="G19" s="456">
        <f t="shared" si="5"/>
        <v>42.028985507246375</v>
      </c>
      <c r="H19" s="454">
        <f t="shared" si="0"/>
        <v>400</v>
      </c>
      <c r="I19" s="456">
        <f>H19/E19%</f>
        <v>57.971014492753618</v>
      </c>
      <c r="J19" s="454">
        <v>1226</v>
      </c>
      <c r="K19" s="454">
        <f t="shared" si="1"/>
        <v>53.350739773716271</v>
      </c>
      <c r="L19" s="454">
        <v>60.230000000000004</v>
      </c>
    </row>
    <row r="20" spans="1:12">
      <c r="A20" s="402">
        <v>16</v>
      </c>
      <c r="B20" s="398" t="s">
        <v>98</v>
      </c>
      <c r="C20" s="398">
        <v>0</v>
      </c>
      <c r="D20" s="399">
        <v>0</v>
      </c>
      <c r="E20" s="400">
        <v>0</v>
      </c>
      <c r="F20" s="400">
        <v>0</v>
      </c>
      <c r="G20" s="401">
        <v>0</v>
      </c>
      <c r="H20" s="400">
        <f t="shared" si="0"/>
        <v>0</v>
      </c>
      <c r="I20" s="401">
        <v>0</v>
      </c>
      <c r="J20" s="400">
        <v>0</v>
      </c>
      <c r="K20" s="400">
        <v>0</v>
      </c>
      <c r="L20" s="400">
        <v>0</v>
      </c>
    </row>
    <row r="21" spans="1:12" s="344" customFormat="1">
      <c r="A21" s="449">
        <v>17</v>
      </c>
      <c r="B21" s="451" t="s">
        <v>35</v>
      </c>
      <c r="C21" s="451">
        <v>81</v>
      </c>
      <c r="D21" s="452">
        <v>479.42</v>
      </c>
      <c r="E21" s="454">
        <v>111.18</v>
      </c>
      <c r="F21" s="454">
        <v>8.6</v>
      </c>
      <c r="G21" s="456">
        <f t="shared" si="5"/>
        <v>7.735204173412483</v>
      </c>
      <c r="H21" s="454">
        <f t="shared" si="0"/>
        <v>102.58000000000001</v>
      </c>
      <c r="I21" s="456">
        <f>H21/E21%</f>
        <v>92.264795826587516</v>
      </c>
      <c r="J21" s="454">
        <v>127.85</v>
      </c>
      <c r="K21" s="454">
        <f>J21/D21%</f>
        <v>26.667640065078636</v>
      </c>
      <c r="L21" s="454">
        <v>33.4</v>
      </c>
    </row>
    <row r="22" spans="1:12">
      <c r="A22" s="397">
        <v>18</v>
      </c>
      <c r="B22" s="398" t="s">
        <v>54</v>
      </c>
      <c r="C22" s="403">
        <v>0</v>
      </c>
      <c r="D22" s="404">
        <v>0</v>
      </c>
      <c r="E22" s="405">
        <v>0</v>
      </c>
      <c r="F22" s="405">
        <v>0</v>
      </c>
      <c r="G22" s="401">
        <v>0</v>
      </c>
      <c r="H22" s="400">
        <f t="shared" si="0"/>
        <v>0</v>
      </c>
      <c r="I22" s="401">
        <v>0</v>
      </c>
      <c r="J22" s="405">
        <v>0</v>
      </c>
      <c r="K22" s="405">
        <v>0</v>
      </c>
      <c r="L22" s="405">
        <v>0</v>
      </c>
    </row>
    <row r="23" spans="1:12">
      <c r="A23" s="402">
        <v>19</v>
      </c>
      <c r="B23" s="398" t="s">
        <v>102</v>
      </c>
      <c r="C23" s="403">
        <v>90</v>
      </c>
      <c r="D23" s="404">
        <v>226.17</v>
      </c>
      <c r="E23" s="405">
        <v>71.260000000000005</v>
      </c>
      <c r="F23" s="405">
        <v>5.6</v>
      </c>
      <c r="G23" s="406">
        <f>F23/E23%</f>
        <v>7.8585461689587417</v>
      </c>
      <c r="H23" s="405">
        <f t="shared" si="0"/>
        <v>65.660000000000011</v>
      </c>
      <c r="I23" s="406">
        <f>H23/E23%</f>
        <v>92.141453831041275</v>
      </c>
      <c r="J23" s="405">
        <v>27.49</v>
      </c>
      <c r="K23" s="405">
        <f>J23/D23%</f>
        <v>12.154573993014104</v>
      </c>
      <c r="L23" s="405">
        <v>4.26</v>
      </c>
    </row>
    <row r="24" spans="1:12">
      <c r="A24" s="407">
        <v>20</v>
      </c>
      <c r="B24" s="403" t="s">
        <v>104</v>
      </c>
      <c r="C24" s="408">
        <v>381</v>
      </c>
      <c r="D24" s="409">
        <v>2631</v>
      </c>
      <c r="E24" s="410">
        <v>45</v>
      </c>
      <c r="F24" s="410">
        <v>25</v>
      </c>
      <c r="G24" s="406">
        <f t="shared" si="5"/>
        <v>55.555555555555557</v>
      </c>
      <c r="H24" s="410">
        <f t="shared" si="0"/>
        <v>20</v>
      </c>
      <c r="I24" s="406">
        <f t="shared" ref="I24" si="6">H24/E24%</f>
        <v>44.444444444444443</v>
      </c>
      <c r="J24" s="410">
        <v>44.46</v>
      </c>
      <c r="K24" s="405">
        <f t="shared" si="1"/>
        <v>1.6898517673888256</v>
      </c>
      <c r="L24" s="410">
        <v>0</v>
      </c>
    </row>
    <row r="25" spans="1:12">
      <c r="A25" s="397">
        <v>21</v>
      </c>
      <c r="B25" s="411" t="s">
        <v>106</v>
      </c>
      <c r="C25" s="412">
        <v>0</v>
      </c>
      <c r="D25" s="413">
        <v>0</v>
      </c>
      <c r="E25" s="414">
        <v>0</v>
      </c>
      <c r="F25" s="413">
        <v>0</v>
      </c>
      <c r="G25" s="415">
        <v>0</v>
      </c>
      <c r="H25" s="400">
        <f t="shared" si="0"/>
        <v>0</v>
      </c>
      <c r="I25" s="401">
        <v>0</v>
      </c>
      <c r="J25" s="400">
        <v>1E-4</v>
      </c>
      <c r="K25" s="400">
        <v>0</v>
      </c>
      <c r="L25" s="416">
        <v>0</v>
      </c>
    </row>
    <row r="26" spans="1:12">
      <c r="A26" s="402">
        <v>22</v>
      </c>
      <c r="B26" s="396" t="s">
        <v>75</v>
      </c>
      <c r="C26" s="417">
        <v>0</v>
      </c>
      <c r="D26" s="416">
        <v>0</v>
      </c>
      <c r="E26" s="416">
        <v>0</v>
      </c>
      <c r="F26" s="416">
        <v>0</v>
      </c>
      <c r="G26" s="418">
        <v>0</v>
      </c>
      <c r="H26" s="399">
        <v>0</v>
      </c>
      <c r="I26" s="401">
        <v>0</v>
      </c>
      <c r="J26" s="365">
        <v>0</v>
      </c>
      <c r="K26" s="419">
        <v>0</v>
      </c>
      <c r="L26" s="416">
        <v>0</v>
      </c>
    </row>
    <row r="27" spans="1:12">
      <c r="A27" s="402">
        <v>23</v>
      </c>
      <c r="B27" s="396" t="s">
        <v>294</v>
      </c>
      <c r="C27" s="417">
        <v>0</v>
      </c>
      <c r="D27" s="416">
        <v>0</v>
      </c>
      <c r="E27" s="416">
        <v>0</v>
      </c>
      <c r="F27" s="416">
        <v>0</v>
      </c>
      <c r="G27" s="418">
        <v>0</v>
      </c>
      <c r="H27" s="399">
        <v>0</v>
      </c>
      <c r="I27" s="401">
        <v>0</v>
      </c>
      <c r="J27" s="365">
        <v>0</v>
      </c>
      <c r="K27" s="419">
        <v>0</v>
      </c>
      <c r="L27" s="416">
        <v>0</v>
      </c>
    </row>
    <row r="28" spans="1:12">
      <c r="A28" s="1668" t="s">
        <v>205</v>
      </c>
      <c r="B28" s="1668" t="s">
        <v>13</v>
      </c>
      <c r="C28" s="951">
        <f>SUM(C5:C27)</f>
        <v>1872</v>
      </c>
      <c r="D28" s="952">
        <f>SUM(D5:D27)</f>
        <v>11276.5</v>
      </c>
      <c r="E28" s="952">
        <f>SUM(E5:E27)</f>
        <v>1680.67</v>
      </c>
      <c r="F28" s="951">
        <f>SUM(F5:F27)</f>
        <v>1018.96</v>
      </c>
      <c r="G28" s="952">
        <f t="shared" ref="G28:G33" si="7">F28/E28%</f>
        <v>60.6282018480725</v>
      </c>
      <c r="H28" s="452">
        <f t="shared" si="0"/>
        <v>661.71</v>
      </c>
      <c r="I28" s="456">
        <f>H28/E28%</f>
        <v>39.371798151927507</v>
      </c>
      <c r="J28" s="691">
        <f>SUM(J5:J27)</f>
        <v>1532.7201</v>
      </c>
      <c r="K28" s="953">
        <f t="shared" si="1"/>
        <v>13.592161574956769</v>
      </c>
      <c r="L28" s="952">
        <f>SUM(L5:L27)</f>
        <v>779.17</v>
      </c>
    </row>
    <row r="29" spans="1:12" s="344" customFormat="1">
      <c r="A29" s="689">
        <v>1</v>
      </c>
      <c r="B29" s="690" t="s">
        <v>16</v>
      </c>
      <c r="C29" s="690">
        <v>14</v>
      </c>
      <c r="D29" s="455">
        <v>257.52</v>
      </c>
      <c r="E29" s="453">
        <v>60.05</v>
      </c>
      <c r="F29" s="453">
        <v>20.12</v>
      </c>
      <c r="G29" s="453">
        <f t="shared" si="7"/>
        <v>33.505412156536224</v>
      </c>
      <c r="H29" s="454">
        <f t="shared" si="0"/>
        <v>39.929999999999993</v>
      </c>
      <c r="I29" s="453">
        <f>H29/E29%</f>
        <v>66.494587843463776</v>
      </c>
      <c r="J29" s="453">
        <v>21.75</v>
      </c>
      <c r="K29" s="454">
        <f t="shared" si="1"/>
        <v>8.4459459459459474</v>
      </c>
      <c r="L29" s="453">
        <v>15.5</v>
      </c>
    </row>
    <row r="30" spans="1:12">
      <c r="A30" s="449">
        <v>1</v>
      </c>
      <c r="B30" s="451" t="s">
        <v>110</v>
      </c>
      <c r="C30" s="451">
        <v>37</v>
      </c>
      <c r="D30" s="452">
        <v>328.59</v>
      </c>
      <c r="E30" s="454">
        <v>148.69999999999999</v>
      </c>
      <c r="F30" s="454">
        <v>13.6</v>
      </c>
      <c r="G30" s="454">
        <f t="shared" si="7"/>
        <v>9.1459314055144585</v>
      </c>
      <c r="H30" s="454">
        <f t="shared" si="0"/>
        <v>135.1</v>
      </c>
      <c r="I30" s="454">
        <f>H30/E30%</f>
        <v>90.85406859448554</v>
      </c>
      <c r="J30" s="454">
        <v>180</v>
      </c>
      <c r="K30" s="454">
        <f t="shared" si="1"/>
        <v>54.779512462339085</v>
      </c>
      <c r="L30" s="454">
        <v>0.5</v>
      </c>
    </row>
    <row r="31" spans="1:12">
      <c r="A31" s="1680" t="s">
        <v>188</v>
      </c>
      <c r="B31" s="1680"/>
      <c r="C31" s="886">
        <f>SUM(C28:C30)</f>
        <v>1923</v>
      </c>
      <c r="D31" s="886">
        <f>SUM(D28:D30)</f>
        <v>11862.61</v>
      </c>
      <c r="E31" s="886">
        <f>SUM(E28:E30)</f>
        <v>1889.42</v>
      </c>
      <c r="F31" s="886">
        <f>SUM(F28:F30)</f>
        <v>1052.6799999999998</v>
      </c>
      <c r="G31" s="691">
        <f t="shared" si="7"/>
        <v>55.71445205406949</v>
      </c>
      <c r="H31" s="886">
        <f>SUM(H28:H30)</f>
        <v>836.74</v>
      </c>
      <c r="I31" s="691">
        <f>H31/E31%</f>
        <v>44.285547945930496</v>
      </c>
      <c r="J31" s="882">
        <f>SUM(J28:J30)</f>
        <v>1734.4701</v>
      </c>
      <c r="K31" s="691">
        <f>J31/D31%</f>
        <v>14.621319422960038</v>
      </c>
      <c r="L31" s="882">
        <f>SUM(L28:L30)</f>
        <v>795.17</v>
      </c>
    </row>
    <row r="32" spans="1:12">
      <c r="A32" s="689">
        <v>1</v>
      </c>
      <c r="B32" s="878" t="s">
        <v>117</v>
      </c>
      <c r="C32" s="690">
        <v>174</v>
      </c>
      <c r="D32" s="455">
        <v>1697.02</v>
      </c>
      <c r="E32" s="453">
        <v>0</v>
      </c>
      <c r="F32" s="453">
        <v>0</v>
      </c>
      <c r="G32" s="454">
        <v>0</v>
      </c>
      <c r="H32" s="454">
        <v>0</v>
      </c>
      <c r="I32" s="454">
        <v>0</v>
      </c>
      <c r="J32" s="454">
        <v>0</v>
      </c>
      <c r="K32" s="454">
        <v>0</v>
      </c>
      <c r="L32" s="454">
        <v>445</v>
      </c>
    </row>
    <row r="33" spans="1:12">
      <c r="A33" s="1680" t="s">
        <v>206</v>
      </c>
      <c r="B33" s="1680"/>
      <c r="C33" s="886">
        <f>SUM(C31:C32)</f>
        <v>2097</v>
      </c>
      <c r="D33" s="882">
        <f>SUM(D31:D32)</f>
        <v>13559.630000000001</v>
      </c>
      <c r="E33" s="882">
        <f>SUM(E31:E32)</f>
        <v>1889.42</v>
      </c>
      <c r="F33" s="882">
        <f>SUM(F31:F32)</f>
        <v>1052.6799999999998</v>
      </c>
      <c r="G33" s="691">
        <f t="shared" si="7"/>
        <v>55.71445205406949</v>
      </c>
      <c r="H33" s="882">
        <f>SUM(H31:H32)</f>
        <v>836.74</v>
      </c>
      <c r="I33" s="882">
        <f>H33/E33%</f>
        <v>44.285547945930496</v>
      </c>
      <c r="J33" s="882">
        <f>SUM(J31:J32)</f>
        <v>1734.4701</v>
      </c>
      <c r="K33" s="882">
        <f>J33/D33%</f>
        <v>12.791426462226475</v>
      </c>
      <c r="L33" s="882">
        <f>SUM(L31:L32)</f>
        <v>1240.17</v>
      </c>
    </row>
    <row r="34" spans="1:12">
      <c r="A34" s="690"/>
      <c r="B34" s="878"/>
      <c r="C34" s="1679" t="s">
        <v>136</v>
      </c>
      <c r="D34" s="1679"/>
      <c r="E34" s="954"/>
      <c r="F34" s="954"/>
      <c r="G34" s="954"/>
      <c r="H34" s="954"/>
      <c r="I34" s="954"/>
      <c r="J34" s="954"/>
      <c r="K34" s="954"/>
      <c r="L34" s="955"/>
    </row>
    <row r="35" spans="1:12">
      <c r="A35" s="886"/>
      <c r="B35" s="878" t="s">
        <v>13</v>
      </c>
      <c r="C35" s="690">
        <v>2186</v>
      </c>
      <c r="D35" s="453">
        <v>16004.43</v>
      </c>
      <c r="E35" s="452">
        <v>1816.8400000000001</v>
      </c>
      <c r="F35" s="454">
        <v>757.02000000000021</v>
      </c>
      <c r="G35" s="454">
        <v>41.666850135399933</v>
      </c>
      <c r="H35" s="454">
        <v>1059.82</v>
      </c>
      <c r="I35" s="454">
        <v>58.333149864600067</v>
      </c>
      <c r="J35" s="454">
        <v>1610.37</v>
      </c>
      <c r="K35" s="454">
        <v>10.062026576391661</v>
      </c>
      <c r="L35" s="452">
        <v>2359.11</v>
      </c>
    </row>
  </sheetData>
  <mergeCells count="7">
    <mergeCell ref="C34:D34"/>
    <mergeCell ref="A1:L1"/>
    <mergeCell ref="A2:L2"/>
    <mergeCell ref="A3:L3"/>
    <mergeCell ref="A28:B28"/>
    <mergeCell ref="A31:B31"/>
    <mergeCell ref="A33:B33"/>
  </mergeCells>
  <pageMargins left="0.7" right="0.7" top="0.75" bottom="0.75" header="0.3" footer="0.3"/>
  <pageSetup scale="90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sqref="A1:L1"/>
    </sheetView>
  </sheetViews>
  <sheetFormatPr defaultRowHeight="15"/>
  <cols>
    <col min="2" max="2" width="11.42578125" bestFit="1" customWidth="1"/>
    <col min="11" max="11" width="12.42578125" bestFit="1" customWidth="1"/>
    <col min="12" max="12" width="11" customWidth="1"/>
  </cols>
  <sheetData>
    <row r="1" spans="1:13" ht="15.75">
      <c r="A1" s="1510">
        <v>66</v>
      </c>
      <c r="B1" s="1510"/>
      <c r="C1" s="1510"/>
      <c r="D1" s="1510"/>
      <c r="E1" s="1510"/>
      <c r="F1" s="1510"/>
      <c r="G1" s="1510"/>
      <c r="H1" s="1510"/>
      <c r="I1" s="1510"/>
      <c r="J1" s="1510"/>
      <c r="K1" s="1510"/>
      <c r="L1" s="1510"/>
    </row>
    <row r="2" spans="1:13" ht="15.75" customHeight="1">
      <c r="A2" s="1506" t="s">
        <v>479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958"/>
    </row>
    <row r="3" spans="1:13" ht="15.75">
      <c r="A3" s="1507" t="s">
        <v>480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</row>
    <row r="4" spans="1:13" ht="38.25">
      <c r="A4" s="173" t="s">
        <v>130</v>
      </c>
      <c r="B4" s="174" t="s">
        <v>131</v>
      </c>
      <c r="C4" s="173" t="s">
        <v>209</v>
      </c>
      <c r="D4" s="173" t="s">
        <v>210</v>
      </c>
      <c r="E4" s="173" t="s">
        <v>211</v>
      </c>
      <c r="F4" s="173" t="s">
        <v>212</v>
      </c>
      <c r="G4" s="173" t="s">
        <v>213</v>
      </c>
      <c r="H4" s="173" t="s">
        <v>214</v>
      </c>
      <c r="I4" s="173" t="s">
        <v>215</v>
      </c>
      <c r="J4" s="173" t="s">
        <v>216</v>
      </c>
      <c r="K4" s="173" t="s">
        <v>217</v>
      </c>
      <c r="L4" s="173" t="s">
        <v>218</v>
      </c>
    </row>
    <row r="5" spans="1:13">
      <c r="A5" s="175">
        <v>1</v>
      </c>
      <c r="B5" s="226" t="s">
        <v>78</v>
      </c>
      <c r="C5" s="222">
        <v>150</v>
      </c>
      <c r="D5" s="176">
        <v>4604.76</v>
      </c>
      <c r="E5" s="177">
        <v>359</v>
      </c>
      <c r="F5" s="177">
        <v>317</v>
      </c>
      <c r="G5" s="224">
        <f>F5/E5*100</f>
        <v>88.300835654596099</v>
      </c>
      <c r="H5" s="176">
        <f>E5-F5</f>
        <v>42</v>
      </c>
      <c r="I5" s="224">
        <f t="shared" ref="I5:I21" si="0">H5/E5%</f>
        <v>11.699164345403901</v>
      </c>
      <c r="J5" s="176">
        <v>248.75</v>
      </c>
      <c r="K5" s="224">
        <f t="shared" ref="K5:K25" si="1">J5/D5%</f>
        <v>5.4020187805661966</v>
      </c>
      <c r="L5" s="176">
        <v>37</v>
      </c>
    </row>
    <row r="6" spans="1:13" s="357" customFormat="1">
      <c r="A6" s="449">
        <v>2</v>
      </c>
      <c r="B6" s="450" t="s">
        <v>27</v>
      </c>
      <c r="C6" s="451">
        <v>13</v>
      </c>
      <c r="D6" s="455">
        <v>7.0000000000000007E-2</v>
      </c>
      <c r="E6" s="453">
        <v>0.65</v>
      </c>
      <c r="F6" s="453">
        <v>0.65</v>
      </c>
      <c r="G6" s="454">
        <f>F6/E6%</f>
        <v>100</v>
      </c>
      <c r="H6" s="455">
        <f>E6-F6</f>
        <v>0</v>
      </c>
      <c r="I6" s="454">
        <v>0</v>
      </c>
      <c r="J6" s="453">
        <v>0</v>
      </c>
      <c r="K6" s="454">
        <f t="shared" si="1"/>
        <v>0</v>
      </c>
      <c r="L6" s="453">
        <v>0</v>
      </c>
    </row>
    <row r="7" spans="1:13">
      <c r="A7" s="421">
        <v>3</v>
      </c>
      <c r="B7" s="422" t="s">
        <v>46</v>
      </c>
      <c r="C7" s="398">
        <v>70</v>
      </c>
      <c r="D7" s="399">
        <v>214</v>
      </c>
      <c r="E7" s="400">
        <v>198</v>
      </c>
      <c r="F7" s="400">
        <v>98.25</v>
      </c>
      <c r="G7" s="400">
        <f>F7/E7*100</f>
        <v>49.621212121212125</v>
      </c>
      <c r="H7" s="365">
        <f>E7-F7</f>
        <v>99.75</v>
      </c>
      <c r="I7" s="400">
        <f>H7/E7%</f>
        <v>50.378787878787882</v>
      </c>
      <c r="J7" s="400">
        <v>53.46</v>
      </c>
      <c r="K7" s="400">
        <f t="shared" si="1"/>
        <v>24.981308411214954</v>
      </c>
      <c r="L7" s="400">
        <v>16</v>
      </c>
    </row>
    <row r="8" spans="1:13" s="357" customFormat="1">
      <c r="A8" s="449">
        <v>4</v>
      </c>
      <c r="B8" s="450" t="s">
        <v>32</v>
      </c>
      <c r="C8" s="451">
        <v>396</v>
      </c>
      <c r="D8" s="452">
        <v>2165.2199999999998</v>
      </c>
      <c r="E8" s="453">
        <v>1065.7</v>
      </c>
      <c r="F8" s="454">
        <v>515.25</v>
      </c>
      <c r="G8" s="454">
        <f>F8/E8*100</f>
        <v>48.348503331143853</v>
      </c>
      <c r="H8" s="455">
        <f>E8-F8</f>
        <v>550.45000000000005</v>
      </c>
      <c r="I8" s="454">
        <f t="shared" si="0"/>
        <v>51.651496668856154</v>
      </c>
      <c r="J8" s="454">
        <v>473.36</v>
      </c>
      <c r="K8" s="454">
        <f t="shared" si="1"/>
        <v>21.861981692391538</v>
      </c>
      <c r="L8" s="454">
        <v>7.02</v>
      </c>
    </row>
    <row r="9" spans="1:13" ht="15.75">
      <c r="A9" s="421">
        <v>5</v>
      </c>
      <c r="B9" s="422" t="s">
        <v>83</v>
      </c>
      <c r="C9" s="398">
        <v>35</v>
      </c>
      <c r="D9" s="399">
        <v>150.85</v>
      </c>
      <c r="E9" s="423">
        <v>15.6</v>
      </c>
      <c r="F9" s="424">
        <v>10.9</v>
      </c>
      <c r="G9" s="400">
        <f>F9/E9*100</f>
        <v>69.871794871794876</v>
      </c>
      <c r="H9" s="365">
        <f>E9-F9</f>
        <v>4.6999999999999993</v>
      </c>
      <c r="I9" s="400">
        <f>H9/E9%</f>
        <v>30.128205128205124</v>
      </c>
      <c r="J9" s="424">
        <v>20.010000000000002</v>
      </c>
      <c r="K9" s="400">
        <f t="shared" si="1"/>
        <v>13.264832615180644</v>
      </c>
      <c r="L9" s="400">
        <v>15.1</v>
      </c>
    </row>
    <row r="10" spans="1:13" s="741" customFormat="1">
      <c r="A10" s="751">
        <v>6</v>
      </c>
      <c r="B10" s="784" t="s">
        <v>85</v>
      </c>
      <c r="C10" s="221">
        <v>1249</v>
      </c>
      <c r="D10" s="756">
        <v>7412.21</v>
      </c>
      <c r="E10" s="224">
        <v>927.6</v>
      </c>
      <c r="F10" s="224">
        <v>219</v>
      </c>
      <c r="G10" s="224">
        <f t="shared" ref="G10" si="2">F10/E10*100</f>
        <v>23.609314359637771</v>
      </c>
      <c r="H10" s="176">
        <f t="shared" ref="H10" si="3">E10-F10</f>
        <v>708.6</v>
      </c>
      <c r="I10" s="224">
        <f>H10/E10%</f>
        <v>76.390685640362236</v>
      </c>
      <c r="J10" s="224">
        <v>2869.89</v>
      </c>
      <c r="K10" s="224">
        <f t="shared" si="1"/>
        <v>38.718411917633198</v>
      </c>
      <c r="L10" s="785">
        <v>0.73</v>
      </c>
    </row>
    <row r="11" spans="1:13" s="741" customFormat="1">
      <c r="A11" s="449">
        <v>7</v>
      </c>
      <c r="B11" s="763" t="s">
        <v>17</v>
      </c>
      <c r="C11" s="451">
        <v>336</v>
      </c>
      <c r="D11" s="452">
        <v>1391.45</v>
      </c>
      <c r="E11" s="454">
        <v>196.2</v>
      </c>
      <c r="F11" s="454">
        <v>23.5</v>
      </c>
      <c r="G11" s="454">
        <f t="shared" ref="G11:G24" si="4">F11/E11*100</f>
        <v>11.977573904179408</v>
      </c>
      <c r="H11" s="455">
        <f t="shared" ref="H11:H25" si="5">E11-F11</f>
        <v>172.7</v>
      </c>
      <c r="I11" s="454">
        <f t="shared" ref="I11" si="6">H11/E11%</f>
        <v>88.022426095820592</v>
      </c>
      <c r="J11" s="454">
        <v>141.94</v>
      </c>
      <c r="K11" s="454">
        <f t="shared" si="1"/>
        <v>10.20086959646412</v>
      </c>
      <c r="L11" s="764">
        <v>77.55</v>
      </c>
    </row>
    <row r="12" spans="1:13" s="357" customFormat="1">
      <c r="A12" s="449">
        <v>8</v>
      </c>
      <c r="B12" s="450" t="s">
        <v>26</v>
      </c>
      <c r="C12" s="451">
        <v>0</v>
      </c>
      <c r="D12" s="452">
        <v>0</v>
      </c>
      <c r="E12" s="453">
        <v>0</v>
      </c>
      <c r="F12" s="454">
        <v>0</v>
      </c>
      <c r="G12" s="454">
        <v>0</v>
      </c>
      <c r="H12" s="455">
        <v>0</v>
      </c>
      <c r="I12" s="454">
        <v>0</v>
      </c>
      <c r="J12" s="454">
        <v>0</v>
      </c>
      <c r="K12" s="454">
        <v>0</v>
      </c>
      <c r="L12" s="327">
        <v>0</v>
      </c>
    </row>
    <row r="13" spans="1:13" s="357" customFormat="1">
      <c r="A13" s="449">
        <v>9</v>
      </c>
      <c r="B13" s="450" t="s">
        <v>11</v>
      </c>
      <c r="C13" s="451">
        <v>0</v>
      </c>
      <c r="D13" s="452">
        <v>0</v>
      </c>
      <c r="E13" s="453">
        <v>0</v>
      </c>
      <c r="F13" s="454">
        <v>0</v>
      </c>
      <c r="G13" s="454">
        <v>0</v>
      </c>
      <c r="H13" s="455">
        <v>0</v>
      </c>
      <c r="I13" s="454">
        <v>0</v>
      </c>
      <c r="J13" s="454">
        <v>0</v>
      </c>
      <c r="K13" s="454">
        <v>0</v>
      </c>
      <c r="L13" s="453">
        <v>0</v>
      </c>
    </row>
    <row r="14" spans="1:13">
      <c r="A14" s="421">
        <v>10</v>
      </c>
      <c r="B14" s="422" t="s">
        <v>90</v>
      </c>
      <c r="C14" s="398">
        <v>128</v>
      </c>
      <c r="D14" s="399">
        <v>1701.58</v>
      </c>
      <c r="E14" s="425">
        <v>885.08</v>
      </c>
      <c r="F14" s="400">
        <v>0</v>
      </c>
      <c r="G14" s="400">
        <f>F14/E14*100</f>
        <v>0</v>
      </c>
      <c r="H14" s="365">
        <f t="shared" ref="H14:H17" si="7">E14-F14</f>
        <v>885.08</v>
      </c>
      <c r="I14" s="400">
        <f>H14/E14%</f>
        <v>100.00000000000001</v>
      </c>
      <c r="J14" s="400">
        <v>292.10000000000002</v>
      </c>
      <c r="K14" s="400">
        <f t="shared" ref="K14:K17" si="8">J14/D14%</f>
        <v>17.166398288649376</v>
      </c>
      <c r="L14" s="400">
        <v>0</v>
      </c>
    </row>
    <row r="15" spans="1:13">
      <c r="A15" s="421">
        <v>11</v>
      </c>
      <c r="B15" s="422" t="s">
        <v>92</v>
      </c>
      <c r="C15" s="403">
        <v>186</v>
      </c>
      <c r="D15" s="404">
        <f>4465.39+420</f>
        <v>4885.3900000000003</v>
      </c>
      <c r="E15" s="405">
        <v>100</v>
      </c>
      <c r="F15" s="405">
        <v>12.45</v>
      </c>
      <c r="G15" s="405">
        <v>2.4500000000000002</v>
      </c>
      <c r="H15" s="364">
        <f t="shared" si="7"/>
        <v>87.55</v>
      </c>
      <c r="I15" s="405">
        <f>H15/E15%</f>
        <v>87.55</v>
      </c>
      <c r="J15" s="405">
        <v>181.78</v>
      </c>
      <c r="K15" s="405">
        <f t="shared" si="8"/>
        <v>3.720890246223945</v>
      </c>
      <c r="L15" s="405">
        <f>365.2+125.73</f>
        <v>490.93</v>
      </c>
    </row>
    <row r="16" spans="1:13">
      <c r="A16" s="421">
        <v>12</v>
      </c>
      <c r="B16" s="422" t="s">
        <v>51</v>
      </c>
      <c r="C16" s="398">
        <v>35</v>
      </c>
      <c r="D16" s="399">
        <v>64.47</v>
      </c>
      <c r="E16" s="425">
        <v>4.5</v>
      </c>
      <c r="F16" s="400">
        <v>0.28000000000000003</v>
      </c>
      <c r="G16" s="400">
        <f>F16/E16*100</f>
        <v>6.2222222222222223</v>
      </c>
      <c r="H16" s="365">
        <f t="shared" si="7"/>
        <v>4.22</v>
      </c>
      <c r="I16" s="400">
        <f>H16/E16%</f>
        <v>93.777777777777771</v>
      </c>
      <c r="J16" s="400">
        <v>2.15</v>
      </c>
      <c r="K16" s="400">
        <f t="shared" si="8"/>
        <v>3.3348844423762993</v>
      </c>
      <c r="L16" s="400">
        <v>32</v>
      </c>
    </row>
    <row r="17" spans="1:12">
      <c r="A17" s="421">
        <v>13</v>
      </c>
      <c r="B17" s="422" t="s">
        <v>52</v>
      </c>
      <c r="C17" s="398">
        <v>34</v>
      </c>
      <c r="D17" s="399">
        <v>51.3</v>
      </c>
      <c r="E17" s="400">
        <v>5.4</v>
      </c>
      <c r="F17" s="400">
        <v>0</v>
      </c>
      <c r="G17" s="400">
        <f>F17/E17*100</f>
        <v>0</v>
      </c>
      <c r="H17" s="365">
        <f t="shared" si="7"/>
        <v>5.4</v>
      </c>
      <c r="I17" s="400">
        <f>H17/E17%</f>
        <v>100</v>
      </c>
      <c r="J17" s="400">
        <v>5.4</v>
      </c>
      <c r="K17" s="400">
        <f t="shared" si="8"/>
        <v>10.526315789473685</v>
      </c>
      <c r="L17" s="400">
        <v>22.71</v>
      </c>
    </row>
    <row r="18" spans="1:12" s="357" customFormat="1">
      <c r="A18" s="449">
        <v>14</v>
      </c>
      <c r="B18" s="450" t="s">
        <v>28</v>
      </c>
      <c r="C18" s="451">
        <v>71</v>
      </c>
      <c r="D18" s="452">
        <v>241.6</v>
      </c>
      <c r="E18" s="454">
        <v>33</v>
      </c>
      <c r="F18" s="454">
        <v>33</v>
      </c>
      <c r="G18" s="454">
        <f>F18/E18*100</f>
        <v>100</v>
      </c>
      <c r="H18" s="455">
        <f t="shared" si="5"/>
        <v>0</v>
      </c>
      <c r="I18" s="454">
        <f t="shared" si="0"/>
        <v>0</v>
      </c>
      <c r="J18" s="454">
        <v>0</v>
      </c>
      <c r="K18" s="454">
        <f t="shared" si="1"/>
        <v>0</v>
      </c>
      <c r="L18" s="454">
        <v>49</v>
      </c>
    </row>
    <row r="19" spans="1:12" s="357" customFormat="1">
      <c r="A19" s="449">
        <v>15</v>
      </c>
      <c r="B19" s="450" t="s">
        <v>10</v>
      </c>
      <c r="C19" s="451">
        <v>3213</v>
      </c>
      <c r="D19" s="452">
        <v>18890</v>
      </c>
      <c r="E19" s="454">
        <v>5600</v>
      </c>
      <c r="F19" s="454">
        <v>3510</v>
      </c>
      <c r="G19" s="454">
        <f t="shared" si="4"/>
        <v>62.678571428571431</v>
      </c>
      <c r="H19" s="455">
        <f t="shared" si="5"/>
        <v>2090</v>
      </c>
      <c r="I19" s="454">
        <f t="shared" si="0"/>
        <v>37.321428571428569</v>
      </c>
      <c r="J19" s="454">
        <v>3692</v>
      </c>
      <c r="K19" s="454">
        <f t="shared" si="1"/>
        <v>19.54473266278454</v>
      </c>
      <c r="L19" s="454">
        <v>635.18000000000006</v>
      </c>
    </row>
    <row r="20" spans="1:12">
      <c r="A20" s="397">
        <v>16</v>
      </c>
      <c r="B20" s="422" t="s">
        <v>98</v>
      </c>
      <c r="C20" s="398">
        <f>223+103</f>
        <v>326</v>
      </c>
      <c r="D20" s="399">
        <f>302.94+296.67</f>
        <v>599.61</v>
      </c>
      <c r="E20" s="400">
        <v>159.66</v>
      </c>
      <c r="F20" s="400">
        <v>36.5</v>
      </c>
      <c r="G20" s="400">
        <f t="shared" si="4"/>
        <v>22.861079794563448</v>
      </c>
      <c r="H20" s="365">
        <f t="shared" si="5"/>
        <v>123.16</v>
      </c>
      <c r="I20" s="400">
        <f t="shared" si="0"/>
        <v>77.138920205436548</v>
      </c>
      <c r="J20" s="400">
        <f>20.4+73.88</f>
        <v>94.28</v>
      </c>
      <c r="K20" s="400">
        <f t="shared" si="1"/>
        <v>15.723553643201415</v>
      </c>
      <c r="L20" s="400">
        <v>5</v>
      </c>
    </row>
    <row r="21" spans="1:12" s="357" customFormat="1">
      <c r="A21" s="449">
        <v>17</v>
      </c>
      <c r="B21" s="450" t="s">
        <v>35</v>
      </c>
      <c r="C21" s="451">
        <v>192</v>
      </c>
      <c r="D21" s="452">
        <v>1166.06</v>
      </c>
      <c r="E21" s="454">
        <v>405.46</v>
      </c>
      <c r="F21" s="454">
        <v>131.66</v>
      </c>
      <c r="G21" s="454">
        <f t="shared" si="4"/>
        <v>32.471760469590095</v>
      </c>
      <c r="H21" s="455">
        <f t="shared" si="5"/>
        <v>273.79999999999995</v>
      </c>
      <c r="I21" s="454">
        <f t="shared" si="0"/>
        <v>67.528239530409891</v>
      </c>
      <c r="J21" s="454">
        <v>381.49</v>
      </c>
      <c r="K21" s="454">
        <f t="shared" si="1"/>
        <v>32.716155257876956</v>
      </c>
      <c r="L21" s="454">
        <v>95.03</v>
      </c>
    </row>
    <row r="22" spans="1:12">
      <c r="A22" s="407">
        <v>18</v>
      </c>
      <c r="B22" s="426" t="s">
        <v>54</v>
      </c>
      <c r="C22" s="403">
        <v>263</v>
      </c>
      <c r="D22" s="404">
        <v>4994</v>
      </c>
      <c r="E22" s="405">
        <v>4396</v>
      </c>
      <c r="F22" s="405">
        <v>1450</v>
      </c>
      <c r="G22" s="405">
        <f t="shared" si="4"/>
        <v>32.984531392174702</v>
      </c>
      <c r="H22" s="364">
        <f t="shared" si="5"/>
        <v>2946</v>
      </c>
      <c r="I22" s="405">
        <f>H22/E22%</f>
        <v>67.015468607825298</v>
      </c>
      <c r="J22" s="405">
        <v>3428</v>
      </c>
      <c r="K22" s="405">
        <f t="shared" si="1"/>
        <v>68.642370845014014</v>
      </c>
      <c r="L22" s="405">
        <v>20</v>
      </c>
    </row>
    <row r="23" spans="1:12">
      <c r="A23" s="421">
        <v>19</v>
      </c>
      <c r="B23" s="422" t="s">
        <v>102</v>
      </c>
      <c r="C23" s="403">
        <v>23</v>
      </c>
      <c r="D23" s="404">
        <v>33.99</v>
      </c>
      <c r="E23" s="405">
        <v>0.62</v>
      </c>
      <c r="F23" s="405">
        <v>0.62</v>
      </c>
      <c r="G23" s="405">
        <f>F23/E23*100</f>
        <v>100</v>
      </c>
      <c r="H23" s="364">
        <f t="shared" si="5"/>
        <v>0</v>
      </c>
      <c r="I23" s="405">
        <f>H23/E23%</f>
        <v>0</v>
      </c>
      <c r="J23" s="405">
        <v>0</v>
      </c>
      <c r="K23" s="405">
        <f t="shared" si="1"/>
        <v>0</v>
      </c>
      <c r="L23" s="405">
        <v>11.45</v>
      </c>
    </row>
    <row r="24" spans="1:12">
      <c r="A24" s="397">
        <v>20</v>
      </c>
      <c r="B24" s="422" t="s">
        <v>104</v>
      </c>
      <c r="C24" s="398">
        <v>993</v>
      </c>
      <c r="D24" s="399">
        <v>5412.35</v>
      </c>
      <c r="E24" s="400">
        <v>926</v>
      </c>
      <c r="F24" s="400">
        <v>415</v>
      </c>
      <c r="G24" s="400">
        <f t="shared" si="4"/>
        <v>44.816414686825048</v>
      </c>
      <c r="H24" s="400">
        <f t="shared" si="5"/>
        <v>511</v>
      </c>
      <c r="I24" s="400">
        <f t="shared" ref="I24" si="9">H24/E24%</f>
        <v>55.183585313174945</v>
      </c>
      <c r="J24" s="400">
        <v>508.59</v>
      </c>
      <c r="K24" s="400">
        <f t="shared" si="1"/>
        <v>9.3968424067179672</v>
      </c>
      <c r="L24" s="400">
        <v>14.59</v>
      </c>
    </row>
    <row r="25" spans="1:12">
      <c r="A25" s="421">
        <v>21</v>
      </c>
      <c r="B25" s="422" t="s">
        <v>106</v>
      </c>
      <c r="C25" s="398">
        <v>0</v>
      </c>
      <c r="D25" s="399">
        <v>9.9999999999999995E-8</v>
      </c>
      <c r="E25" s="400">
        <v>0</v>
      </c>
      <c r="F25" s="400">
        <v>0</v>
      </c>
      <c r="G25" s="400">
        <v>0</v>
      </c>
      <c r="H25" s="365">
        <f t="shared" si="5"/>
        <v>0</v>
      </c>
      <c r="I25" s="400">
        <v>0</v>
      </c>
      <c r="J25" s="400">
        <v>0</v>
      </c>
      <c r="K25" s="400">
        <f t="shared" si="1"/>
        <v>0</v>
      </c>
      <c r="L25" s="400">
        <v>0</v>
      </c>
    </row>
    <row r="26" spans="1:12" s="344" customFormat="1">
      <c r="A26" s="427">
        <v>22</v>
      </c>
      <c r="B26" s="428" t="s">
        <v>483</v>
      </c>
      <c r="C26" s="429">
        <f>59+19</f>
        <v>78</v>
      </c>
      <c r="D26" s="364">
        <f>687.43+56</f>
        <v>743.43</v>
      </c>
      <c r="E26" s="364">
        <v>28.78</v>
      </c>
      <c r="F26" s="430">
        <v>28.79</v>
      </c>
      <c r="G26" s="364">
        <f>F26/E26%</f>
        <v>100.03474635163307</v>
      </c>
      <c r="H26" s="364">
        <f>E26-F26</f>
        <v>-9.9999999999980105E-3</v>
      </c>
      <c r="I26" s="430">
        <f>H26/E26%</f>
        <v>-3.4746351633071611E-2</v>
      </c>
      <c r="J26" s="364">
        <v>0</v>
      </c>
      <c r="K26" s="364">
        <f>J26/D26%</f>
        <v>0</v>
      </c>
      <c r="L26" s="364">
        <v>247.7</v>
      </c>
    </row>
    <row r="27" spans="1:12">
      <c r="A27" s="431">
        <v>23</v>
      </c>
      <c r="B27" s="432" t="s">
        <v>59</v>
      </c>
      <c r="C27" s="433">
        <v>0</v>
      </c>
      <c r="D27" s="365">
        <v>0</v>
      </c>
      <c r="E27" s="365">
        <v>0</v>
      </c>
      <c r="F27" s="425">
        <v>0</v>
      </c>
      <c r="G27" s="365">
        <v>0</v>
      </c>
      <c r="H27" s="365">
        <v>0</v>
      </c>
      <c r="I27" s="425">
        <v>0</v>
      </c>
      <c r="J27" s="365">
        <v>0</v>
      </c>
      <c r="K27" s="365">
        <v>0</v>
      </c>
      <c r="L27" s="365">
        <v>0</v>
      </c>
    </row>
    <row r="28" spans="1:12">
      <c r="A28" s="1681" t="s">
        <v>205</v>
      </c>
      <c r="B28" s="1681"/>
      <c r="C28" s="886">
        <f>SUM(C5:C27)</f>
        <v>7791</v>
      </c>
      <c r="D28" s="691">
        <f>SUM(D5:D27)</f>
        <v>54722.34000009999</v>
      </c>
      <c r="E28" s="691">
        <f>SUM(E5:E27)</f>
        <v>15307.25</v>
      </c>
      <c r="F28" s="882">
        <f>SUM(F5:F27)</f>
        <v>6802.8499999999995</v>
      </c>
      <c r="G28" s="691">
        <f>F28/E28%</f>
        <v>44.442012771725814</v>
      </c>
      <c r="H28" s="882">
        <f>E28-F28</f>
        <v>8504.4000000000015</v>
      </c>
      <c r="I28" s="882">
        <f>H28/E28%</f>
        <v>55.557987228274193</v>
      </c>
      <c r="J28" s="691">
        <f>SUM(J5:J27)</f>
        <v>12393.199999999999</v>
      </c>
      <c r="K28" s="691">
        <f>J28/D28%</f>
        <v>22.647423337484025</v>
      </c>
      <c r="L28" s="691">
        <f>SUM(L5:L27)</f>
        <v>1776.99</v>
      </c>
    </row>
    <row r="29" spans="1:12" s="344" customFormat="1">
      <c r="A29" s="689">
        <v>1</v>
      </c>
      <c r="B29" s="956" t="s">
        <v>16</v>
      </c>
      <c r="C29" s="690">
        <v>1463</v>
      </c>
      <c r="D29" s="455">
        <f>4717.95+3330.17</f>
        <v>8048.12</v>
      </c>
      <c r="E29" s="453">
        <v>2657.12</v>
      </c>
      <c r="F29" s="453">
        <v>1631.81</v>
      </c>
      <c r="G29" s="691">
        <f>F29/E29%</f>
        <v>61.412732582645873</v>
      </c>
      <c r="H29" s="455">
        <v>870.56</v>
      </c>
      <c r="I29" s="691">
        <f>H29/E29%</f>
        <v>32.76329258746312</v>
      </c>
      <c r="J29" s="455">
        <v>823.7</v>
      </c>
      <c r="K29" s="692">
        <f>J29/D29%</f>
        <v>10.234688349577294</v>
      </c>
      <c r="L29" s="455">
        <f>337+295.3</f>
        <v>632.29999999999995</v>
      </c>
    </row>
    <row r="30" spans="1:12">
      <c r="A30" s="449">
        <v>1</v>
      </c>
      <c r="B30" s="450" t="s">
        <v>110</v>
      </c>
      <c r="C30" s="451">
        <v>2169</v>
      </c>
      <c r="D30" s="452">
        <v>3990.59</v>
      </c>
      <c r="E30" s="454">
        <v>1296.1400000000001</v>
      </c>
      <c r="F30" s="454">
        <v>325.60000000000002</v>
      </c>
      <c r="G30" s="692">
        <f>F30/E30%</f>
        <v>25.120743129600196</v>
      </c>
      <c r="H30" s="452">
        <f>E30-F30</f>
        <v>970.54000000000008</v>
      </c>
      <c r="I30" s="692">
        <f>H30/E30%</f>
        <v>74.8792568703998</v>
      </c>
      <c r="J30" s="452">
        <v>2800.58</v>
      </c>
      <c r="K30" s="692">
        <f>J30/D30%</f>
        <v>70.179597503126104</v>
      </c>
      <c r="L30" s="452">
        <v>62.1</v>
      </c>
    </row>
    <row r="31" spans="1:12">
      <c r="A31" s="1682" t="s">
        <v>206</v>
      </c>
      <c r="B31" s="1683"/>
      <c r="C31" s="886">
        <f t="shared" ref="C31:H31" si="10">SUM(C28:C30)</f>
        <v>11423</v>
      </c>
      <c r="D31" s="882">
        <f>SUM(D28:D30)</f>
        <v>66761.050000099989</v>
      </c>
      <c r="E31" s="882">
        <f t="shared" si="10"/>
        <v>19260.509999999998</v>
      </c>
      <c r="F31" s="882">
        <f t="shared" si="10"/>
        <v>8760.26</v>
      </c>
      <c r="G31" s="692">
        <f>F31/E31*100</f>
        <v>45.483011612880453</v>
      </c>
      <c r="H31" s="691">
        <f t="shared" si="10"/>
        <v>10345.500000000002</v>
      </c>
      <c r="I31" s="692">
        <f>H31/E31%</f>
        <v>53.713530950115036</v>
      </c>
      <c r="J31" s="691">
        <f>SUM(J28:J30)</f>
        <v>16017.48</v>
      </c>
      <c r="K31" s="692">
        <f>J31/D31%</f>
        <v>23.992252967824818</v>
      </c>
      <c r="L31" s="691">
        <f>SUM(L28:L30)</f>
        <v>2471.39</v>
      </c>
    </row>
    <row r="32" spans="1:12">
      <c r="A32" s="689"/>
      <c r="B32" s="878"/>
      <c r="C32" s="1684" t="s">
        <v>136</v>
      </c>
      <c r="D32" s="1684"/>
      <c r="E32" s="1684"/>
      <c r="F32" s="1684"/>
      <c r="G32" s="1684"/>
      <c r="H32" s="1684"/>
      <c r="I32" s="1684"/>
      <c r="J32" s="1684"/>
      <c r="K32" s="1684"/>
      <c r="L32" s="1684"/>
    </row>
    <row r="33" spans="1:12">
      <c r="A33" s="957"/>
      <c r="B33" s="885" t="s">
        <v>13</v>
      </c>
      <c r="C33" s="690">
        <v>14079</v>
      </c>
      <c r="D33" s="455">
        <v>73855.360000100001</v>
      </c>
      <c r="E33" s="455">
        <v>20835.429999999993</v>
      </c>
      <c r="F33" s="453">
        <v>8396.69</v>
      </c>
      <c r="G33" s="453">
        <v>40.300056202343818</v>
      </c>
      <c r="H33" s="453">
        <v>12283.989999999994</v>
      </c>
      <c r="I33" s="453">
        <v>58.957218545525571</v>
      </c>
      <c r="J33" s="453">
        <v>16318.140000000003</v>
      </c>
      <c r="K33" s="453">
        <v>22.094726774032253</v>
      </c>
      <c r="L33" s="455">
        <v>11501.06</v>
      </c>
    </row>
  </sheetData>
  <mergeCells count="6">
    <mergeCell ref="A1:L1"/>
    <mergeCell ref="A3:L3"/>
    <mergeCell ref="A28:B28"/>
    <mergeCell ref="A31:B31"/>
    <mergeCell ref="C32:L32"/>
    <mergeCell ref="A2:L2"/>
  </mergeCells>
  <pageMargins left="0.7" right="0.7" top="0.75" bottom="0.75" header="0.3" footer="0.3"/>
  <pageSetup paperSize="9" scale="95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sqref="A1:J1"/>
    </sheetView>
  </sheetViews>
  <sheetFormatPr defaultRowHeight="15"/>
  <cols>
    <col min="4" max="4" width="9.5703125" bestFit="1" customWidth="1"/>
    <col min="6" max="6" width="11.7109375" customWidth="1"/>
    <col min="8" max="8" width="12.5703125" customWidth="1"/>
    <col min="9" max="9" width="9.7109375" customWidth="1"/>
    <col min="10" max="10" width="9.5703125" bestFit="1" customWidth="1"/>
  </cols>
  <sheetData>
    <row r="1" spans="1:10">
      <c r="A1" s="1494">
        <v>67</v>
      </c>
      <c r="B1" s="1494"/>
      <c r="C1" s="1494"/>
      <c r="D1" s="1494"/>
      <c r="E1" s="1494"/>
      <c r="F1" s="1494"/>
      <c r="G1" s="1494"/>
      <c r="H1" s="1494"/>
      <c r="I1" s="1494"/>
      <c r="J1" s="1494"/>
    </row>
    <row r="2" spans="1:10" ht="18">
      <c r="A2" s="1516" t="s">
        <v>369</v>
      </c>
      <c r="B2" s="1516"/>
      <c r="C2" s="1516"/>
      <c r="D2" s="1516"/>
      <c r="E2" s="1516"/>
      <c r="F2" s="1516"/>
      <c r="G2" s="1516"/>
      <c r="H2" s="1516"/>
      <c r="I2" s="1516"/>
      <c r="J2" s="1516"/>
    </row>
    <row r="3" spans="1:10" ht="15.75">
      <c r="A3" s="229"/>
      <c r="C3" s="280"/>
      <c r="D3" s="1517" t="s">
        <v>563</v>
      </c>
      <c r="E3" s="1517"/>
      <c r="F3" s="1517"/>
      <c r="G3" s="1517"/>
      <c r="I3" s="261"/>
    </row>
    <row r="4" spans="1:10" ht="15.75">
      <c r="A4" s="229"/>
      <c r="C4" s="281"/>
      <c r="D4" s="282"/>
      <c r="E4" s="282"/>
      <c r="F4" s="282"/>
      <c r="G4" s="282"/>
      <c r="I4" s="1518" t="s">
        <v>370</v>
      </c>
      <c r="J4" s="1518"/>
    </row>
    <row r="5" spans="1:10">
      <c r="A5" s="283" t="s">
        <v>371</v>
      </c>
      <c r="B5" s="1519" t="s">
        <v>343</v>
      </c>
      <c r="C5" s="1520" t="s">
        <v>372</v>
      </c>
      <c r="D5" s="1520"/>
      <c r="E5" s="1521" t="s">
        <v>373</v>
      </c>
      <c r="F5" s="1521"/>
      <c r="G5" s="1522" t="s">
        <v>374</v>
      </c>
      <c r="H5" s="1522"/>
      <c r="I5" s="1520" t="s">
        <v>63</v>
      </c>
      <c r="J5" s="1520"/>
    </row>
    <row r="6" spans="1:10">
      <c r="A6" s="283" t="s">
        <v>282</v>
      </c>
      <c r="B6" s="1519"/>
      <c r="C6" s="284" t="s">
        <v>302</v>
      </c>
      <c r="D6" s="285" t="s">
        <v>283</v>
      </c>
      <c r="E6" s="284" t="s">
        <v>302</v>
      </c>
      <c r="F6" s="285" t="s">
        <v>283</v>
      </c>
      <c r="G6" s="284" t="s">
        <v>302</v>
      </c>
      <c r="H6" s="284" t="s">
        <v>283</v>
      </c>
      <c r="I6" s="286" t="s">
        <v>302</v>
      </c>
      <c r="J6" s="287" t="s">
        <v>283</v>
      </c>
    </row>
    <row r="7" spans="1:10" s="344" customFormat="1">
      <c r="A7" s="554">
        <v>1</v>
      </c>
      <c r="B7" s="555" t="s">
        <v>78</v>
      </c>
      <c r="C7" s="558">
        <v>4</v>
      </c>
      <c r="D7" s="559">
        <v>50</v>
      </c>
      <c r="E7" s="556">
        <v>2</v>
      </c>
      <c r="F7" s="557">
        <v>1</v>
      </c>
      <c r="G7" s="556">
        <v>0</v>
      </c>
      <c r="H7" s="557">
        <v>0</v>
      </c>
      <c r="I7" s="558">
        <f t="shared" ref="I7:J30" si="0">C7+E7+G7</f>
        <v>6</v>
      </c>
      <c r="J7" s="559">
        <f t="shared" ref="J7:J20" si="1">H7+F7+D7</f>
        <v>51</v>
      </c>
    </row>
    <row r="8" spans="1:10">
      <c r="A8" s="554">
        <v>2</v>
      </c>
      <c r="B8" s="555" t="s">
        <v>27</v>
      </c>
      <c r="C8" s="556">
        <v>35</v>
      </c>
      <c r="D8" s="557">
        <v>41.93</v>
      </c>
      <c r="E8" s="556">
        <v>18</v>
      </c>
      <c r="F8" s="557">
        <v>21.25</v>
      </c>
      <c r="G8" s="556">
        <v>0</v>
      </c>
      <c r="H8" s="557">
        <v>0</v>
      </c>
      <c r="I8" s="558">
        <f t="shared" si="0"/>
        <v>53</v>
      </c>
      <c r="J8" s="559">
        <f t="shared" si="1"/>
        <v>63.18</v>
      </c>
    </row>
    <row r="9" spans="1:10" s="344" customFormat="1">
      <c r="A9" s="554">
        <v>3</v>
      </c>
      <c r="B9" s="555" t="s">
        <v>46</v>
      </c>
      <c r="C9" s="556">
        <v>17</v>
      </c>
      <c r="D9" s="557">
        <v>108</v>
      </c>
      <c r="E9" s="556">
        <v>7</v>
      </c>
      <c r="F9" s="557">
        <v>72</v>
      </c>
      <c r="G9" s="556">
        <v>0</v>
      </c>
      <c r="H9" s="557">
        <v>0</v>
      </c>
      <c r="I9" s="558">
        <f t="shared" si="0"/>
        <v>24</v>
      </c>
      <c r="J9" s="559">
        <f t="shared" si="1"/>
        <v>180</v>
      </c>
    </row>
    <row r="10" spans="1:10" s="344" customFormat="1">
      <c r="A10" s="554">
        <v>4</v>
      </c>
      <c r="B10" s="555" t="s">
        <v>32</v>
      </c>
      <c r="C10" s="556">
        <v>493</v>
      </c>
      <c r="D10" s="557">
        <v>3123.42</v>
      </c>
      <c r="E10" s="556">
        <v>282</v>
      </c>
      <c r="F10" s="557">
        <v>947.86</v>
      </c>
      <c r="G10" s="556">
        <v>0</v>
      </c>
      <c r="H10" s="557">
        <v>0</v>
      </c>
      <c r="I10" s="558">
        <f t="shared" si="0"/>
        <v>775</v>
      </c>
      <c r="J10" s="559">
        <f t="shared" si="1"/>
        <v>4071.28</v>
      </c>
    </row>
    <row r="11" spans="1:10" s="344" customFormat="1">
      <c r="A11" s="554">
        <v>5</v>
      </c>
      <c r="B11" s="555" t="s">
        <v>83</v>
      </c>
      <c r="C11" s="556">
        <v>45</v>
      </c>
      <c r="D11" s="557">
        <v>319.47000000000003</v>
      </c>
      <c r="E11" s="556">
        <v>9</v>
      </c>
      <c r="F11" s="557">
        <v>109.52</v>
      </c>
      <c r="G11" s="556">
        <v>0</v>
      </c>
      <c r="H11" s="557">
        <v>0</v>
      </c>
      <c r="I11" s="558">
        <f t="shared" si="0"/>
        <v>54</v>
      </c>
      <c r="J11" s="559">
        <f t="shared" si="1"/>
        <v>428.99</v>
      </c>
    </row>
    <row r="12" spans="1:10">
      <c r="A12" s="554">
        <v>6</v>
      </c>
      <c r="B12" s="555" t="s">
        <v>85</v>
      </c>
      <c r="C12" s="556">
        <v>717</v>
      </c>
      <c r="D12" s="557">
        <v>3089.51</v>
      </c>
      <c r="E12" s="556">
        <v>233</v>
      </c>
      <c r="F12" s="557">
        <v>400.05</v>
      </c>
      <c r="G12" s="556">
        <v>0</v>
      </c>
      <c r="H12" s="557">
        <v>0</v>
      </c>
      <c r="I12" s="558">
        <f t="shared" si="0"/>
        <v>950</v>
      </c>
      <c r="J12" s="559">
        <f t="shared" si="1"/>
        <v>3489.5600000000004</v>
      </c>
    </row>
    <row r="13" spans="1:10">
      <c r="A13" s="554">
        <v>7</v>
      </c>
      <c r="B13" s="555" t="s">
        <v>17</v>
      </c>
      <c r="C13" s="556">
        <v>462</v>
      </c>
      <c r="D13" s="557">
        <v>571.36</v>
      </c>
      <c r="E13" s="556">
        <v>699</v>
      </c>
      <c r="F13" s="557">
        <v>619.46</v>
      </c>
      <c r="G13" s="556">
        <v>0</v>
      </c>
      <c r="H13" s="557">
        <v>0</v>
      </c>
      <c r="I13" s="558">
        <f t="shared" si="0"/>
        <v>1161</v>
      </c>
      <c r="J13" s="559">
        <f t="shared" si="1"/>
        <v>1190.8200000000002</v>
      </c>
    </row>
    <row r="14" spans="1:10" s="344" customFormat="1">
      <c r="A14" s="508">
        <v>8</v>
      </c>
      <c r="B14" s="509" t="s">
        <v>26</v>
      </c>
      <c r="C14" s="510">
        <v>35</v>
      </c>
      <c r="D14" s="511">
        <v>95.89</v>
      </c>
      <c r="E14" s="510">
        <v>444</v>
      </c>
      <c r="F14" s="511">
        <v>1641.08</v>
      </c>
      <c r="G14" s="510">
        <v>0</v>
      </c>
      <c r="H14" s="511">
        <v>0</v>
      </c>
      <c r="I14" s="512">
        <f t="shared" si="0"/>
        <v>479</v>
      </c>
      <c r="J14" s="513">
        <f t="shared" si="1"/>
        <v>1736.97</v>
      </c>
    </row>
    <row r="15" spans="1:10" s="344" customFormat="1">
      <c r="A15" s="508">
        <v>9</v>
      </c>
      <c r="B15" s="509" t="s">
        <v>11</v>
      </c>
      <c r="C15" s="510">
        <v>53</v>
      </c>
      <c r="D15" s="511">
        <f>10.85+570.92</f>
        <v>581.77</v>
      </c>
      <c r="E15" s="510">
        <v>77</v>
      </c>
      <c r="F15" s="511">
        <v>393.68</v>
      </c>
      <c r="G15" s="510">
        <v>0</v>
      </c>
      <c r="H15" s="511">
        <v>0</v>
      </c>
      <c r="I15" s="512">
        <f t="shared" si="0"/>
        <v>130</v>
      </c>
      <c r="J15" s="513">
        <f t="shared" si="1"/>
        <v>975.45</v>
      </c>
    </row>
    <row r="16" spans="1:10" s="344" customFormat="1">
      <c r="A16" s="554">
        <v>10</v>
      </c>
      <c r="B16" s="555" t="s">
        <v>90</v>
      </c>
      <c r="C16" s="556">
        <v>229</v>
      </c>
      <c r="D16" s="557">
        <v>1815.4</v>
      </c>
      <c r="E16" s="556">
        <v>104</v>
      </c>
      <c r="F16" s="557">
        <v>239.1</v>
      </c>
      <c r="G16" s="556">
        <v>0</v>
      </c>
      <c r="H16" s="557">
        <v>0</v>
      </c>
      <c r="I16" s="558">
        <f t="shared" si="0"/>
        <v>333</v>
      </c>
      <c r="J16" s="559">
        <f t="shared" si="1"/>
        <v>2054.5</v>
      </c>
    </row>
    <row r="17" spans="1:10" s="344" customFormat="1">
      <c r="A17" s="554">
        <v>11</v>
      </c>
      <c r="B17" s="555" t="s">
        <v>92</v>
      </c>
      <c r="C17" s="556">
        <v>47</v>
      </c>
      <c r="D17" s="557">
        <v>1482.58</v>
      </c>
      <c r="E17" s="556">
        <v>29</v>
      </c>
      <c r="F17" s="557">
        <v>34</v>
      </c>
      <c r="G17" s="556">
        <v>0</v>
      </c>
      <c r="H17" s="557">
        <v>0</v>
      </c>
      <c r="I17" s="558">
        <f t="shared" si="0"/>
        <v>76</v>
      </c>
      <c r="J17" s="559">
        <f t="shared" si="1"/>
        <v>1516.58</v>
      </c>
    </row>
    <row r="18" spans="1:10" s="344" customFormat="1">
      <c r="A18" s="554">
        <v>12</v>
      </c>
      <c r="B18" s="555" t="s">
        <v>51</v>
      </c>
      <c r="C18" s="556">
        <v>78</v>
      </c>
      <c r="D18" s="557">
        <v>284.07</v>
      </c>
      <c r="E18" s="556">
        <v>21</v>
      </c>
      <c r="F18" s="557">
        <v>105.41</v>
      </c>
      <c r="G18" s="556">
        <v>0</v>
      </c>
      <c r="H18" s="557">
        <v>0</v>
      </c>
      <c r="I18" s="558">
        <f t="shared" si="0"/>
        <v>99</v>
      </c>
      <c r="J18" s="559">
        <f t="shared" si="1"/>
        <v>389.48</v>
      </c>
    </row>
    <row r="19" spans="1:10" s="344" customFormat="1">
      <c r="A19" s="554">
        <v>13</v>
      </c>
      <c r="B19" s="555" t="s">
        <v>52</v>
      </c>
      <c r="C19" s="556">
        <v>31</v>
      </c>
      <c r="D19" s="557">
        <f>0.86+59.54</f>
        <v>60.4</v>
      </c>
      <c r="E19" s="556">
        <v>40</v>
      </c>
      <c r="F19" s="557">
        <v>102.52</v>
      </c>
      <c r="G19" s="556">
        <v>0</v>
      </c>
      <c r="H19" s="557">
        <v>0</v>
      </c>
      <c r="I19" s="558">
        <f t="shared" si="0"/>
        <v>71</v>
      </c>
      <c r="J19" s="559">
        <f t="shared" si="1"/>
        <v>162.91999999999999</v>
      </c>
    </row>
    <row r="20" spans="1:10" s="344" customFormat="1">
      <c r="A20" s="554">
        <v>14</v>
      </c>
      <c r="B20" s="555" t="s">
        <v>28</v>
      </c>
      <c r="C20" s="556">
        <v>1334</v>
      </c>
      <c r="D20" s="557">
        <v>6347.1</v>
      </c>
      <c r="E20" s="556">
        <v>537</v>
      </c>
      <c r="F20" s="557">
        <v>1103.45</v>
      </c>
      <c r="G20" s="556">
        <v>0</v>
      </c>
      <c r="H20" s="557">
        <v>0</v>
      </c>
      <c r="I20" s="558">
        <f t="shared" si="0"/>
        <v>1871</v>
      </c>
      <c r="J20" s="559">
        <f t="shared" si="1"/>
        <v>7450.55</v>
      </c>
    </row>
    <row r="21" spans="1:10" s="344" customFormat="1">
      <c r="A21" s="508">
        <v>15</v>
      </c>
      <c r="B21" s="509" t="s">
        <v>10</v>
      </c>
      <c r="C21" s="510">
        <v>9492</v>
      </c>
      <c r="D21" s="511">
        <v>44779.66</v>
      </c>
      <c r="E21" s="510">
        <v>13497</v>
      </c>
      <c r="F21" s="511">
        <v>47063.57</v>
      </c>
      <c r="G21" s="510">
        <v>126</v>
      </c>
      <c r="H21" s="511">
        <v>124.6</v>
      </c>
      <c r="I21" s="512">
        <f t="shared" si="0"/>
        <v>23115</v>
      </c>
      <c r="J21" s="513">
        <f>H21+F21+D21</f>
        <v>91967.83</v>
      </c>
    </row>
    <row r="22" spans="1:10" s="344" customFormat="1">
      <c r="A22" s="508">
        <v>16</v>
      </c>
      <c r="B22" s="509" t="s">
        <v>98</v>
      </c>
      <c r="C22" s="510">
        <v>340</v>
      </c>
      <c r="D22" s="511">
        <v>447.8</v>
      </c>
      <c r="E22" s="510">
        <v>274</v>
      </c>
      <c r="F22" s="511">
        <v>337.88</v>
      </c>
      <c r="G22" s="510">
        <v>0</v>
      </c>
      <c r="H22" s="511">
        <v>0</v>
      </c>
      <c r="I22" s="512">
        <f t="shared" si="0"/>
        <v>614</v>
      </c>
      <c r="J22" s="513">
        <f t="shared" ref="J22:J27" si="2">H22+F22+D22</f>
        <v>785.68000000000006</v>
      </c>
    </row>
    <row r="23" spans="1:10" s="344" customFormat="1">
      <c r="A23" s="554">
        <v>17</v>
      </c>
      <c r="B23" s="555" t="s">
        <v>35</v>
      </c>
      <c r="C23" s="556">
        <v>410</v>
      </c>
      <c r="D23" s="557">
        <v>367.59</v>
      </c>
      <c r="E23" s="556">
        <v>198</v>
      </c>
      <c r="F23" s="557">
        <v>263.94</v>
      </c>
      <c r="G23" s="556">
        <v>0</v>
      </c>
      <c r="H23" s="557">
        <v>0</v>
      </c>
      <c r="I23" s="558">
        <f t="shared" si="0"/>
        <v>608</v>
      </c>
      <c r="J23" s="559">
        <f t="shared" si="2"/>
        <v>631.53</v>
      </c>
    </row>
    <row r="24" spans="1:10" s="344" customFormat="1">
      <c r="A24" s="554">
        <v>18</v>
      </c>
      <c r="B24" s="555" t="s">
        <v>54</v>
      </c>
      <c r="C24" s="556">
        <v>502</v>
      </c>
      <c r="D24" s="557">
        <v>3208</v>
      </c>
      <c r="E24" s="556">
        <v>178</v>
      </c>
      <c r="F24" s="557">
        <v>967</v>
      </c>
      <c r="G24" s="556">
        <v>0</v>
      </c>
      <c r="H24" s="557">
        <v>0</v>
      </c>
      <c r="I24" s="558">
        <f t="shared" si="0"/>
        <v>680</v>
      </c>
      <c r="J24" s="559">
        <f t="shared" si="2"/>
        <v>4175</v>
      </c>
    </row>
    <row r="25" spans="1:10" s="344" customFormat="1">
      <c r="A25" s="554">
        <v>19</v>
      </c>
      <c r="B25" s="555" t="s">
        <v>102</v>
      </c>
      <c r="C25" s="556">
        <v>9</v>
      </c>
      <c r="D25" s="557">
        <v>47.9</v>
      </c>
      <c r="E25" s="556">
        <v>16</v>
      </c>
      <c r="F25" s="557">
        <v>34</v>
      </c>
      <c r="G25" s="556">
        <v>0</v>
      </c>
      <c r="H25" s="557">
        <v>0</v>
      </c>
      <c r="I25" s="558">
        <f t="shared" si="0"/>
        <v>25</v>
      </c>
      <c r="J25" s="559">
        <f t="shared" si="2"/>
        <v>81.900000000000006</v>
      </c>
    </row>
    <row r="26" spans="1:10">
      <c r="A26" s="554">
        <v>20</v>
      </c>
      <c r="B26" s="555" t="s">
        <v>104</v>
      </c>
      <c r="C26" s="556">
        <v>1563</v>
      </c>
      <c r="D26" s="557">
        <v>6821.21</v>
      </c>
      <c r="E26" s="556">
        <v>561</v>
      </c>
      <c r="F26" s="557">
        <v>3854.1</v>
      </c>
      <c r="G26" s="556">
        <v>0</v>
      </c>
      <c r="H26" s="557">
        <v>0</v>
      </c>
      <c r="I26" s="558">
        <f t="shared" si="0"/>
        <v>2124</v>
      </c>
      <c r="J26" s="559">
        <f t="shared" si="2"/>
        <v>10675.31</v>
      </c>
    </row>
    <row r="27" spans="1:10" s="344" customFormat="1">
      <c r="A27" s="554">
        <v>21</v>
      </c>
      <c r="B27" s="555" t="s">
        <v>106</v>
      </c>
      <c r="C27" s="556">
        <v>0</v>
      </c>
      <c r="D27" s="557">
        <v>0</v>
      </c>
      <c r="E27" s="556">
        <v>0</v>
      </c>
      <c r="F27" s="557">
        <v>0</v>
      </c>
      <c r="G27" s="556">
        <v>0</v>
      </c>
      <c r="H27" s="557">
        <v>0</v>
      </c>
      <c r="I27" s="558">
        <f t="shared" si="0"/>
        <v>0</v>
      </c>
      <c r="J27" s="559">
        <f t="shared" si="2"/>
        <v>0</v>
      </c>
    </row>
    <row r="28" spans="1:10" s="344" customFormat="1">
      <c r="A28" s="554">
        <v>22</v>
      </c>
      <c r="B28" s="555" t="s">
        <v>108</v>
      </c>
      <c r="C28" s="556">
        <v>9</v>
      </c>
      <c r="D28" s="557">
        <v>47.9</v>
      </c>
      <c r="E28" s="556">
        <v>16</v>
      </c>
      <c r="F28" s="557">
        <v>34</v>
      </c>
      <c r="G28" s="556">
        <v>0</v>
      </c>
      <c r="H28" s="557">
        <v>0</v>
      </c>
      <c r="I28" s="558">
        <f>C28+E28+G28</f>
        <v>25</v>
      </c>
      <c r="J28" s="559">
        <f>H28+F28+D28</f>
        <v>81.900000000000006</v>
      </c>
    </row>
    <row r="29" spans="1:10">
      <c r="A29" s="1685" t="s">
        <v>340</v>
      </c>
      <c r="B29" s="1685"/>
      <c r="C29" s="979">
        <f t="shared" ref="C29:J29" si="3">SUM(C7:C28)</f>
        <v>15905</v>
      </c>
      <c r="D29" s="980">
        <f t="shared" si="3"/>
        <v>73690.960000000006</v>
      </c>
      <c r="E29" s="979">
        <f t="shared" si="3"/>
        <v>17242</v>
      </c>
      <c r="F29" s="980">
        <f t="shared" si="3"/>
        <v>58344.869999999995</v>
      </c>
      <c r="G29" s="979">
        <f t="shared" si="3"/>
        <v>126</v>
      </c>
      <c r="H29" s="980">
        <f t="shared" si="3"/>
        <v>124.6</v>
      </c>
      <c r="I29" s="979">
        <f t="shared" si="3"/>
        <v>33273</v>
      </c>
      <c r="J29" s="980">
        <f t="shared" si="3"/>
        <v>132160.43</v>
      </c>
    </row>
    <row r="30" spans="1:10" s="344" customFormat="1">
      <c r="A30" s="554">
        <v>22</v>
      </c>
      <c r="B30" s="714" t="s">
        <v>16</v>
      </c>
      <c r="C30" s="556">
        <v>5576</v>
      </c>
      <c r="D30" s="557">
        <v>16864</v>
      </c>
      <c r="E30" s="556">
        <v>4215</v>
      </c>
      <c r="F30" s="557">
        <v>12465</v>
      </c>
      <c r="G30" s="556">
        <v>0</v>
      </c>
      <c r="H30" s="557">
        <v>0</v>
      </c>
      <c r="I30" s="558">
        <f t="shared" si="0"/>
        <v>9791</v>
      </c>
      <c r="J30" s="559">
        <f t="shared" si="0"/>
        <v>29329</v>
      </c>
    </row>
    <row r="31" spans="1:10">
      <c r="A31" s="554">
        <v>23</v>
      </c>
      <c r="B31" s="714" t="s">
        <v>12</v>
      </c>
      <c r="C31" s="556">
        <v>9864</v>
      </c>
      <c r="D31" s="557">
        <v>13078.1</v>
      </c>
      <c r="E31" s="556">
        <v>2991</v>
      </c>
      <c r="F31" s="557">
        <v>6539.05</v>
      </c>
      <c r="G31" s="556">
        <v>0</v>
      </c>
      <c r="H31" s="557">
        <v>0</v>
      </c>
      <c r="I31" s="558">
        <f t="shared" ref="I31:J32" si="4">C31+E31+G31</f>
        <v>12855</v>
      </c>
      <c r="J31" s="559">
        <f t="shared" si="4"/>
        <v>19617.150000000001</v>
      </c>
    </row>
    <row r="32" spans="1:10">
      <c r="A32" s="981" t="s">
        <v>375</v>
      </c>
      <c r="B32" s="982" t="s">
        <v>376</v>
      </c>
      <c r="C32" s="983">
        <f t="shared" ref="C32:H32" si="5">SUM(C29:C31)</f>
        <v>31345</v>
      </c>
      <c r="D32" s="984">
        <f t="shared" si="5"/>
        <v>103633.06000000001</v>
      </c>
      <c r="E32" s="983">
        <f t="shared" si="5"/>
        <v>24448</v>
      </c>
      <c r="F32" s="984">
        <f t="shared" si="5"/>
        <v>77348.92</v>
      </c>
      <c r="G32" s="983">
        <f t="shared" si="5"/>
        <v>126</v>
      </c>
      <c r="H32" s="984">
        <f t="shared" si="5"/>
        <v>124.6</v>
      </c>
      <c r="I32" s="983">
        <f t="shared" si="4"/>
        <v>55919</v>
      </c>
      <c r="J32" s="984">
        <f>D32+F32+H32</f>
        <v>181106.58000000002</v>
      </c>
    </row>
    <row r="33" spans="1:10">
      <c r="A33" s="1686" t="s">
        <v>377</v>
      </c>
      <c r="B33" s="1686"/>
      <c r="C33" s="983">
        <v>42270</v>
      </c>
      <c r="D33" s="984">
        <v>98748.940000000017</v>
      </c>
      <c r="E33" s="983">
        <v>17470</v>
      </c>
      <c r="F33" s="984">
        <v>41489.119999999995</v>
      </c>
      <c r="G33" s="983">
        <v>126</v>
      </c>
      <c r="H33" s="985">
        <v>124.6</v>
      </c>
      <c r="I33" s="983">
        <v>59866</v>
      </c>
      <c r="J33" s="984">
        <v>140362.66</v>
      </c>
    </row>
  </sheetData>
  <mergeCells count="11">
    <mergeCell ref="A29:B29"/>
    <mergeCell ref="A33:B33"/>
    <mergeCell ref="A1:J1"/>
    <mergeCell ref="A2:J2"/>
    <mergeCell ref="D3:G3"/>
    <mergeCell ref="I4:J4"/>
    <mergeCell ref="B5:B6"/>
    <mergeCell ref="C5:D5"/>
    <mergeCell ref="E5:F5"/>
    <mergeCell ref="G5:H5"/>
    <mergeCell ref="I5:J5"/>
  </mergeCells>
  <pageMargins left="0.7" right="0.7" top="0.75" bottom="0.75" header="0.3" footer="0.3"/>
  <pageSetup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M1"/>
    </sheetView>
  </sheetViews>
  <sheetFormatPr defaultRowHeight="15"/>
  <cols>
    <col min="1" max="1" width="13.85546875" bestFit="1" customWidth="1"/>
    <col min="5" max="5" width="9.5703125" bestFit="1" customWidth="1"/>
    <col min="13" max="13" width="9.5703125" bestFit="1" customWidth="1"/>
  </cols>
  <sheetData>
    <row r="1" spans="1:13">
      <c r="A1" s="1494">
        <v>68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</row>
    <row r="2" spans="1:13" ht="15.75">
      <c r="A2" s="1523" t="s">
        <v>362</v>
      </c>
      <c r="B2" s="1523"/>
      <c r="C2" s="1523"/>
      <c r="D2" s="1523"/>
      <c r="E2" s="1523"/>
      <c r="F2" s="1523"/>
      <c r="G2" s="1523"/>
      <c r="H2" s="1523"/>
      <c r="I2" s="1523"/>
      <c r="J2" s="1523"/>
      <c r="K2" s="1523"/>
      <c r="L2" s="1523"/>
      <c r="M2" s="1523"/>
    </row>
    <row r="3" spans="1:13" ht="15.75">
      <c r="A3" s="1524" t="s">
        <v>570</v>
      </c>
      <c r="B3" s="1524"/>
      <c r="C3" s="1524"/>
      <c r="D3" s="1524"/>
      <c r="E3" s="1524"/>
      <c r="F3" s="1524"/>
      <c r="G3" s="1524"/>
      <c r="H3" s="1524"/>
      <c r="I3" s="1524"/>
      <c r="J3" s="1524"/>
      <c r="K3" s="1524"/>
      <c r="L3" s="1524"/>
      <c r="M3" s="1524"/>
    </row>
    <row r="4" spans="1:13">
      <c r="A4" s="1525" t="s">
        <v>343</v>
      </c>
      <c r="B4" s="1527" t="s">
        <v>363</v>
      </c>
      <c r="C4" s="1528"/>
      <c r="D4" s="1527" t="s">
        <v>364</v>
      </c>
      <c r="E4" s="1528"/>
      <c r="F4" s="1527" t="s">
        <v>365</v>
      </c>
      <c r="G4" s="1528"/>
      <c r="H4" s="1527" t="s">
        <v>366</v>
      </c>
      <c r="I4" s="1528"/>
      <c r="J4" s="1527" t="s">
        <v>367</v>
      </c>
      <c r="K4" s="1528"/>
      <c r="L4" s="1529" t="s">
        <v>63</v>
      </c>
      <c r="M4" s="1530"/>
    </row>
    <row r="5" spans="1:13">
      <c r="A5" s="1526"/>
      <c r="B5" s="277" t="s">
        <v>282</v>
      </c>
      <c r="C5" s="277" t="s">
        <v>350</v>
      </c>
      <c r="D5" s="277" t="s">
        <v>368</v>
      </c>
      <c r="E5" s="277" t="s">
        <v>350</v>
      </c>
      <c r="F5" s="277" t="s">
        <v>368</v>
      </c>
      <c r="G5" s="277" t="s">
        <v>350</v>
      </c>
      <c r="H5" s="278" t="s">
        <v>368</v>
      </c>
      <c r="I5" s="278" t="s">
        <v>350</v>
      </c>
      <c r="J5" s="278" t="s">
        <v>368</v>
      </c>
      <c r="K5" s="278" t="s">
        <v>350</v>
      </c>
      <c r="L5" s="279" t="s">
        <v>368</v>
      </c>
      <c r="M5" s="279" t="s">
        <v>350</v>
      </c>
    </row>
    <row r="6" spans="1:13" ht="15.75">
      <c r="A6" s="126" t="s">
        <v>78</v>
      </c>
      <c r="B6" s="535">
        <v>6</v>
      </c>
      <c r="C6" s="536">
        <v>74</v>
      </c>
      <c r="D6" s="535">
        <v>75</v>
      </c>
      <c r="E6" s="536">
        <v>660</v>
      </c>
      <c r="F6" s="535">
        <v>0</v>
      </c>
      <c r="G6" s="536">
        <v>0</v>
      </c>
      <c r="H6" s="535">
        <v>0</v>
      </c>
      <c r="I6" s="536">
        <v>0</v>
      </c>
      <c r="J6" s="535">
        <v>0</v>
      </c>
      <c r="K6" s="351">
        <v>0</v>
      </c>
      <c r="L6" s="545">
        <f t="shared" ref="L6:M6" si="0">B6+D6+F6+H6+J6</f>
        <v>81</v>
      </c>
      <c r="M6" s="351">
        <f t="shared" si="0"/>
        <v>734</v>
      </c>
    </row>
    <row r="7" spans="1:13">
      <c r="A7" s="448" t="s">
        <v>27</v>
      </c>
      <c r="B7" s="504">
        <v>0</v>
      </c>
      <c r="C7" s="505">
        <v>0</v>
      </c>
      <c r="D7" s="504">
        <v>17</v>
      </c>
      <c r="E7" s="505">
        <v>18.579999999999998</v>
      </c>
      <c r="F7" s="504">
        <v>0</v>
      </c>
      <c r="G7" s="505">
        <v>0</v>
      </c>
      <c r="H7" s="504">
        <v>0</v>
      </c>
      <c r="I7" s="505">
        <v>0</v>
      </c>
      <c r="J7" s="504">
        <v>0</v>
      </c>
      <c r="K7" s="505">
        <v>0</v>
      </c>
      <c r="L7" s="507">
        <f t="shared" ref="L7:M21" si="1">B7+D7+F7+H7+J7</f>
        <v>17</v>
      </c>
      <c r="M7" s="506">
        <f t="shared" si="1"/>
        <v>18.579999999999998</v>
      </c>
    </row>
    <row r="8" spans="1:13" ht="15.75">
      <c r="A8" s="974" t="s">
        <v>46</v>
      </c>
      <c r="B8" s="975">
        <v>2</v>
      </c>
      <c r="C8" s="976">
        <v>18</v>
      </c>
      <c r="D8" s="975">
        <v>18</v>
      </c>
      <c r="E8" s="976">
        <v>92.16</v>
      </c>
      <c r="F8" s="975"/>
      <c r="G8" s="976">
        <v>0</v>
      </c>
      <c r="H8" s="975">
        <v>5</v>
      </c>
      <c r="I8" s="976">
        <v>21</v>
      </c>
      <c r="J8" s="975">
        <v>0</v>
      </c>
      <c r="K8" s="976">
        <v>0</v>
      </c>
      <c r="L8" s="977">
        <f t="shared" si="1"/>
        <v>25</v>
      </c>
      <c r="M8" s="978">
        <f t="shared" si="1"/>
        <v>131.16</v>
      </c>
    </row>
    <row r="9" spans="1:13" s="741" customFormat="1">
      <c r="A9" s="448" t="s">
        <v>32</v>
      </c>
      <c r="B9" s="504">
        <v>16</v>
      </c>
      <c r="C9" s="505">
        <v>18.75</v>
      </c>
      <c r="D9" s="504">
        <v>766</v>
      </c>
      <c r="E9" s="505">
        <v>4179.37</v>
      </c>
      <c r="F9" s="504">
        <v>0</v>
      </c>
      <c r="G9" s="505">
        <v>0</v>
      </c>
      <c r="H9" s="504">
        <v>3</v>
      </c>
      <c r="I9" s="505">
        <v>7.05</v>
      </c>
      <c r="J9" s="504">
        <v>0</v>
      </c>
      <c r="K9" s="506">
        <v>0</v>
      </c>
      <c r="L9" s="507">
        <f t="shared" si="1"/>
        <v>785</v>
      </c>
      <c r="M9" s="506">
        <f t="shared" si="1"/>
        <v>4205.17</v>
      </c>
    </row>
    <row r="10" spans="1:13" ht="15.75">
      <c r="A10" s="974" t="s">
        <v>83</v>
      </c>
      <c r="B10" s="975"/>
      <c r="C10" s="976">
        <v>0</v>
      </c>
      <c r="D10" s="975">
        <v>50</v>
      </c>
      <c r="E10" s="976">
        <v>510.2</v>
      </c>
      <c r="F10" s="975">
        <v>0</v>
      </c>
      <c r="G10" s="976">
        <v>0</v>
      </c>
      <c r="H10" s="975">
        <v>0</v>
      </c>
      <c r="I10" s="976">
        <v>0</v>
      </c>
      <c r="J10" s="975">
        <v>0</v>
      </c>
      <c r="K10" s="978">
        <v>0</v>
      </c>
      <c r="L10" s="977">
        <f t="shared" si="1"/>
        <v>50</v>
      </c>
      <c r="M10" s="978">
        <f t="shared" si="1"/>
        <v>510.2</v>
      </c>
    </row>
    <row r="11" spans="1:13">
      <c r="A11" s="448" t="s">
        <v>85</v>
      </c>
      <c r="B11" s="504">
        <v>25</v>
      </c>
      <c r="C11" s="505">
        <v>49</v>
      </c>
      <c r="D11" s="504">
        <v>422</v>
      </c>
      <c r="E11" s="505">
        <v>12056</v>
      </c>
      <c r="F11" s="504">
        <v>0</v>
      </c>
      <c r="G11" s="505">
        <v>0</v>
      </c>
      <c r="H11" s="504">
        <v>50</v>
      </c>
      <c r="I11" s="505">
        <v>87</v>
      </c>
      <c r="J11" s="504">
        <v>0</v>
      </c>
      <c r="K11" s="506">
        <v>0</v>
      </c>
      <c r="L11" s="507">
        <f t="shared" si="1"/>
        <v>497</v>
      </c>
      <c r="M11" s="506">
        <f t="shared" si="1"/>
        <v>12192</v>
      </c>
    </row>
    <row r="12" spans="1:13">
      <c r="A12" s="448" t="s">
        <v>17</v>
      </c>
      <c r="B12" s="504">
        <v>57</v>
      </c>
      <c r="C12" s="505">
        <v>45.75</v>
      </c>
      <c r="D12" s="504">
        <v>401</v>
      </c>
      <c r="E12" s="505">
        <v>259.20999999999998</v>
      </c>
      <c r="F12" s="504">
        <v>0</v>
      </c>
      <c r="G12" s="505">
        <v>0</v>
      </c>
      <c r="H12" s="504">
        <v>126</v>
      </c>
      <c r="I12" s="505">
        <v>170.52</v>
      </c>
      <c r="J12" s="504">
        <v>0</v>
      </c>
      <c r="K12" s="505">
        <v>0</v>
      </c>
      <c r="L12" s="507">
        <f t="shared" si="1"/>
        <v>584</v>
      </c>
      <c r="M12" s="506">
        <f t="shared" si="1"/>
        <v>475.48</v>
      </c>
    </row>
    <row r="13" spans="1:13" s="344" customFormat="1">
      <c r="A13" s="105" t="s">
        <v>26</v>
      </c>
      <c r="B13" s="682">
        <v>5</v>
      </c>
      <c r="C13" s="683">
        <v>22.63</v>
      </c>
      <c r="D13" s="682">
        <v>19</v>
      </c>
      <c r="E13" s="683">
        <v>101.27</v>
      </c>
      <c r="F13" s="682">
        <v>1</v>
      </c>
      <c r="G13" s="683">
        <v>0.49</v>
      </c>
      <c r="H13" s="682">
        <v>33</v>
      </c>
      <c r="I13" s="683">
        <v>117.85</v>
      </c>
      <c r="J13" s="682">
        <v>0</v>
      </c>
      <c r="K13" s="352">
        <v>0</v>
      </c>
      <c r="L13" s="684">
        <f t="shared" si="1"/>
        <v>58</v>
      </c>
      <c r="M13" s="352">
        <f t="shared" si="1"/>
        <v>242.23999999999998</v>
      </c>
    </row>
    <row r="14" spans="1:13" s="344" customFormat="1">
      <c r="A14" s="448" t="s">
        <v>11</v>
      </c>
      <c r="B14" s="504">
        <v>0</v>
      </c>
      <c r="C14" s="505">
        <v>0</v>
      </c>
      <c r="D14" s="504">
        <v>32</v>
      </c>
      <c r="E14" s="505">
        <v>200.57</v>
      </c>
      <c r="F14" s="504">
        <v>3</v>
      </c>
      <c r="G14" s="505">
        <v>27.99</v>
      </c>
      <c r="H14" s="504">
        <v>5</v>
      </c>
      <c r="I14" s="505">
        <v>44.36</v>
      </c>
      <c r="J14" s="504">
        <v>0</v>
      </c>
      <c r="K14" s="506">
        <v>0</v>
      </c>
      <c r="L14" s="507">
        <f t="shared" si="1"/>
        <v>40</v>
      </c>
      <c r="M14" s="506">
        <f t="shared" si="1"/>
        <v>272.92</v>
      </c>
    </row>
    <row r="15" spans="1:13" ht="15.75">
      <c r="A15" s="126" t="s">
        <v>90</v>
      </c>
      <c r="B15" s="535">
        <v>1</v>
      </c>
      <c r="C15" s="536">
        <v>0.08</v>
      </c>
      <c r="D15" s="535">
        <v>214</v>
      </c>
      <c r="E15" s="536">
        <v>1469.87</v>
      </c>
      <c r="F15" s="535">
        <v>0</v>
      </c>
      <c r="G15" s="536">
        <v>0</v>
      </c>
      <c r="H15" s="535">
        <v>14</v>
      </c>
      <c r="I15" s="536">
        <v>35.75</v>
      </c>
      <c r="J15" s="535">
        <v>0</v>
      </c>
      <c r="K15" s="536">
        <v>0</v>
      </c>
      <c r="L15" s="545">
        <f t="shared" si="1"/>
        <v>229</v>
      </c>
      <c r="M15" s="351">
        <f t="shared" si="1"/>
        <v>1505.6999999999998</v>
      </c>
    </row>
    <row r="16" spans="1:13" ht="15.75">
      <c r="A16" s="126" t="s">
        <v>284</v>
      </c>
      <c r="B16" s="535">
        <v>0</v>
      </c>
      <c r="C16" s="536">
        <v>0</v>
      </c>
      <c r="D16" s="535">
        <v>49</v>
      </c>
      <c r="E16" s="536">
        <v>1242.5</v>
      </c>
      <c r="F16" s="535">
        <v>0</v>
      </c>
      <c r="G16" s="536">
        <v>0</v>
      </c>
      <c r="H16" s="535">
        <v>32</v>
      </c>
      <c r="I16" s="536">
        <v>250.08</v>
      </c>
      <c r="J16" s="535">
        <v>0</v>
      </c>
      <c r="K16" s="536">
        <v>0</v>
      </c>
      <c r="L16" s="545">
        <f t="shared" si="1"/>
        <v>81</v>
      </c>
      <c r="M16" s="351">
        <f t="shared" si="1"/>
        <v>1492.58</v>
      </c>
    </row>
    <row r="17" spans="1:13" ht="15.75">
      <c r="A17" s="126" t="s">
        <v>51</v>
      </c>
      <c r="B17" s="535">
        <v>2</v>
      </c>
      <c r="C17" s="536">
        <v>16.73</v>
      </c>
      <c r="D17" s="535">
        <v>59</v>
      </c>
      <c r="E17" s="536">
        <v>259.08999999999997</v>
      </c>
      <c r="F17" s="535">
        <v>0</v>
      </c>
      <c r="G17" s="536">
        <v>0</v>
      </c>
      <c r="H17" s="535">
        <v>6</v>
      </c>
      <c r="I17" s="536">
        <v>76.77</v>
      </c>
      <c r="J17" s="535">
        <v>0</v>
      </c>
      <c r="K17" s="351">
        <v>0</v>
      </c>
      <c r="L17" s="545">
        <f t="shared" si="1"/>
        <v>67</v>
      </c>
      <c r="M17" s="351">
        <f t="shared" si="1"/>
        <v>352.59</v>
      </c>
    </row>
    <row r="18" spans="1:13" ht="15.75">
      <c r="A18" s="126" t="s">
        <v>52</v>
      </c>
      <c r="B18" s="535">
        <v>0</v>
      </c>
      <c r="C18" s="536">
        <v>0</v>
      </c>
      <c r="D18" s="535">
        <v>20</v>
      </c>
      <c r="E18" s="536">
        <v>30.78</v>
      </c>
      <c r="F18" s="535">
        <v>0</v>
      </c>
      <c r="G18" s="536">
        <v>0</v>
      </c>
      <c r="H18" s="535">
        <v>1</v>
      </c>
      <c r="I18" s="536">
        <v>10.36</v>
      </c>
      <c r="J18" s="535">
        <v>0</v>
      </c>
      <c r="K18" s="351">
        <v>0</v>
      </c>
      <c r="L18" s="545">
        <f t="shared" si="1"/>
        <v>21</v>
      </c>
      <c r="M18" s="351">
        <f t="shared" si="1"/>
        <v>41.14</v>
      </c>
    </row>
    <row r="19" spans="1:13" s="344" customFormat="1">
      <c r="A19" s="448" t="s">
        <v>28</v>
      </c>
      <c r="B19" s="504">
        <v>84</v>
      </c>
      <c r="C19" s="505">
        <v>48</v>
      </c>
      <c r="D19" s="504">
        <v>2061</v>
      </c>
      <c r="E19" s="505">
        <v>205</v>
      </c>
      <c r="F19" s="504">
        <v>19</v>
      </c>
      <c r="G19" s="505">
        <v>21</v>
      </c>
      <c r="H19" s="504">
        <v>60</v>
      </c>
      <c r="I19" s="505">
        <v>46</v>
      </c>
      <c r="J19" s="504">
        <v>0</v>
      </c>
      <c r="K19" s="506">
        <v>0</v>
      </c>
      <c r="L19" s="507">
        <f>B19+D19+F19+H19+J19</f>
        <v>2224</v>
      </c>
      <c r="M19" s="506">
        <f t="shared" si="1"/>
        <v>320</v>
      </c>
    </row>
    <row r="20" spans="1:13" s="344" customFormat="1">
      <c r="A20" s="105" t="s">
        <v>10</v>
      </c>
      <c r="B20" s="682">
        <v>96</v>
      </c>
      <c r="C20" s="683">
        <v>326.89</v>
      </c>
      <c r="D20" s="682">
        <v>1586</v>
      </c>
      <c r="E20" s="683">
        <v>7488.07</v>
      </c>
      <c r="F20" s="682">
        <v>10</v>
      </c>
      <c r="G20" s="683">
        <v>30.01</v>
      </c>
      <c r="H20" s="682">
        <v>1499</v>
      </c>
      <c r="I20" s="683">
        <v>5917.95</v>
      </c>
      <c r="J20" s="682">
        <v>0</v>
      </c>
      <c r="K20" s="683">
        <v>0</v>
      </c>
      <c r="L20" s="684">
        <f t="shared" si="1"/>
        <v>3191</v>
      </c>
      <c r="M20" s="352">
        <f t="shared" si="1"/>
        <v>13762.92</v>
      </c>
    </row>
    <row r="21" spans="1:13" ht="15.75">
      <c r="A21" s="126" t="s">
        <v>53</v>
      </c>
      <c r="B21" s="535">
        <v>29</v>
      </c>
      <c r="C21" s="536">
        <v>45.11</v>
      </c>
      <c r="D21" s="535">
        <v>287</v>
      </c>
      <c r="E21" s="536">
        <f>350.34+7.48+4</f>
        <v>361.82</v>
      </c>
      <c r="F21" s="535">
        <v>0</v>
      </c>
      <c r="G21" s="536">
        <v>0</v>
      </c>
      <c r="H21" s="535">
        <v>6</v>
      </c>
      <c r="I21" s="536">
        <v>5.94</v>
      </c>
      <c r="J21" s="535">
        <v>0</v>
      </c>
      <c r="K21" s="536">
        <v>0</v>
      </c>
      <c r="L21" s="545">
        <f t="shared" si="1"/>
        <v>322</v>
      </c>
      <c r="M21" s="351">
        <f t="shared" si="1"/>
        <v>412.87</v>
      </c>
    </row>
    <row r="22" spans="1:13" s="344" customFormat="1">
      <c r="A22" s="448" t="s">
        <v>35</v>
      </c>
      <c r="B22" s="504">
        <v>6</v>
      </c>
      <c r="C22" s="505">
        <v>39.25</v>
      </c>
      <c r="D22" s="504">
        <v>198</v>
      </c>
      <c r="E22" s="505">
        <v>241.71</v>
      </c>
      <c r="F22" s="504">
        <v>0</v>
      </c>
      <c r="G22" s="505">
        <v>0</v>
      </c>
      <c r="H22" s="504">
        <v>24</v>
      </c>
      <c r="I22" s="505">
        <v>64.38</v>
      </c>
      <c r="J22" s="504">
        <v>0</v>
      </c>
      <c r="K22" s="505">
        <v>0</v>
      </c>
      <c r="L22" s="507">
        <f>B22+D22+F22+H22+J22</f>
        <v>228</v>
      </c>
      <c r="M22" s="506">
        <f>C22+E22+G22+I22+K22</f>
        <v>345.34000000000003</v>
      </c>
    </row>
    <row r="23" spans="1:13" ht="15.75">
      <c r="A23" s="126" t="s">
        <v>54</v>
      </c>
      <c r="B23" s="535">
        <v>39</v>
      </c>
      <c r="C23" s="536">
        <v>147</v>
      </c>
      <c r="D23" s="535">
        <v>334</v>
      </c>
      <c r="E23" s="536">
        <v>1322</v>
      </c>
      <c r="F23" s="535">
        <v>2</v>
      </c>
      <c r="G23" s="536">
        <v>7</v>
      </c>
      <c r="H23" s="535">
        <v>69</v>
      </c>
      <c r="I23" s="536">
        <v>126</v>
      </c>
      <c r="J23" s="535">
        <v>0</v>
      </c>
      <c r="K23" s="536">
        <v>0</v>
      </c>
      <c r="L23" s="545">
        <f t="shared" ref="L23:M26" si="2">B23+D23+F23+H23+J23</f>
        <v>444</v>
      </c>
      <c r="M23" s="351">
        <f t="shared" si="2"/>
        <v>1602</v>
      </c>
    </row>
    <row r="24" spans="1:13" ht="15.75">
      <c r="A24" s="126" t="s">
        <v>285</v>
      </c>
      <c r="B24" s="535">
        <v>0</v>
      </c>
      <c r="C24" s="536">
        <v>0</v>
      </c>
      <c r="D24" s="535">
        <v>25</v>
      </c>
      <c r="E24" s="536">
        <v>81.900000000000006</v>
      </c>
      <c r="F24" s="535">
        <v>0</v>
      </c>
      <c r="G24" s="536">
        <v>0</v>
      </c>
      <c r="H24" s="535">
        <v>0</v>
      </c>
      <c r="I24" s="536">
        <v>0</v>
      </c>
      <c r="J24" s="535">
        <v>0</v>
      </c>
      <c r="K24" s="536">
        <v>0</v>
      </c>
      <c r="L24" s="545">
        <f t="shared" si="2"/>
        <v>25</v>
      </c>
      <c r="M24" s="351">
        <f t="shared" si="2"/>
        <v>81.900000000000006</v>
      </c>
    </row>
    <row r="25" spans="1:13" ht="15.75">
      <c r="A25" s="126" t="s">
        <v>23</v>
      </c>
      <c r="B25" s="535">
        <v>38</v>
      </c>
      <c r="C25" s="536">
        <v>115.59</v>
      </c>
      <c r="D25" s="535">
        <v>950</v>
      </c>
      <c r="E25" s="536">
        <v>5694.43</v>
      </c>
      <c r="F25" s="535">
        <v>0</v>
      </c>
      <c r="G25" s="536">
        <v>0</v>
      </c>
      <c r="H25" s="535">
        <v>8</v>
      </c>
      <c r="I25" s="536">
        <v>25.96</v>
      </c>
      <c r="J25" s="535">
        <v>0</v>
      </c>
      <c r="K25" s="536">
        <v>0</v>
      </c>
      <c r="L25" s="545">
        <f t="shared" si="2"/>
        <v>996</v>
      </c>
      <c r="M25" s="351">
        <f t="shared" si="2"/>
        <v>5835.9800000000005</v>
      </c>
    </row>
    <row r="26" spans="1:13" ht="15.75">
      <c r="A26" s="126" t="s">
        <v>106</v>
      </c>
      <c r="B26" s="535">
        <v>0</v>
      </c>
      <c r="C26" s="536">
        <v>0</v>
      </c>
      <c r="D26" s="535">
        <v>0</v>
      </c>
      <c r="E26" s="536">
        <v>0</v>
      </c>
      <c r="F26" s="535">
        <v>0</v>
      </c>
      <c r="G26" s="536">
        <v>0</v>
      </c>
      <c r="H26" s="535">
        <v>0</v>
      </c>
      <c r="I26" s="536">
        <v>0</v>
      </c>
      <c r="J26" s="535">
        <v>0</v>
      </c>
      <c r="K26" s="351">
        <v>0</v>
      </c>
      <c r="L26" s="545">
        <f t="shared" si="2"/>
        <v>0</v>
      </c>
      <c r="M26" s="351">
        <f t="shared" si="2"/>
        <v>0</v>
      </c>
    </row>
    <row r="27" spans="1:13" ht="15.75">
      <c r="A27" s="126" t="s">
        <v>481</v>
      </c>
      <c r="B27" s="535">
        <v>0</v>
      </c>
      <c r="C27" s="536">
        <v>0</v>
      </c>
      <c r="D27" s="535">
        <v>25</v>
      </c>
      <c r="E27" s="536">
        <v>82.2</v>
      </c>
      <c r="F27" s="535">
        <v>0</v>
      </c>
      <c r="G27" s="536">
        <v>0</v>
      </c>
      <c r="H27" s="535">
        <v>0</v>
      </c>
      <c r="I27" s="536">
        <v>0</v>
      </c>
      <c r="J27" s="535">
        <v>0</v>
      </c>
      <c r="K27" s="351">
        <v>0</v>
      </c>
      <c r="L27" s="545">
        <v>25</v>
      </c>
      <c r="M27" s="351">
        <v>81.900000000000006</v>
      </c>
    </row>
    <row r="28" spans="1:13" s="344" customFormat="1">
      <c r="A28" s="810" t="s">
        <v>340</v>
      </c>
      <c r="B28" s="847">
        <f t="shared" ref="B28:M28" si="3">SUM(B6:B27)</f>
        <v>406</v>
      </c>
      <c r="C28" s="848">
        <f t="shared" si="3"/>
        <v>966.78</v>
      </c>
      <c r="D28" s="847">
        <f t="shared" si="3"/>
        <v>7608</v>
      </c>
      <c r="E28" s="848">
        <f t="shared" si="3"/>
        <v>36556.729999999996</v>
      </c>
      <c r="F28" s="847">
        <f t="shared" si="3"/>
        <v>35</v>
      </c>
      <c r="G28" s="848">
        <f t="shared" si="3"/>
        <v>86.49</v>
      </c>
      <c r="H28" s="847">
        <f t="shared" si="3"/>
        <v>1941</v>
      </c>
      <c r="I28" s="848">
        <f t="shared" si="3"/>
        <v>7006.9699999999993</v>
      </c>
      <c r="J28" s="847">
        <f t="shared" si="3"/>
        <v>0</v>
      </c>
      <c r="K28" s="848">
        <f t="shared" si="3"/>
        <v>0</v>
      </c>
      <c r="L28" s="847">
        <f t="shared" si="3"/>
        <v>9990</v>
      </c>
      <c r="M28" s="848">
        <f t="shared" si="3"/>
        <v>44616.670000000006</v>
      </c>
    </row>
    <row r="29" spans="1:13" s="344" customFormat="1">
      <c r="A29" s="448" t="s">
        <v>16</v>
      </c>
      <c r="B29" s="504">
        <v>0</v>
      </c>
      <c r="C29" s="505">
        <v>0</v>
      </c>
      <c r="D29" s="504">
        <v>0</v>
      </c>
      <c r="E29" s="505">
        <v>0</v>
      </c>
      <c r="F29" s="504">
        <v>0</v>
      </c>
      <c r="G29" s="505">
        <v>0</v>
      </c>
      <c r="H29" s="504">
        <v>0</v>
      </c>
      <c r="I29" s="505">
        <v>0</v>
      </c>
      <c r="J29" s="504">
        <v>0</v>
      </c>
      <c r="K29" s="506">
        <v>0</v>
      </c>
      <c r="L29" s="507">
        <f>B29+D29+F29+H29+J29</f>
        <v>0</v>
      </c>
      <c r="M29" s="506">
        <f>C29+E29+G29+I29+K29</f>
        <v>0</v>
      </c>
    </row>
    <row r="30" spans="1:13" s="344" customFormat="1">
      <c r="A30" s="448" t="s">
        <v>12</v>
      </c>
      <c r="B30" s="504">
        <v>0</v>
      </c>
      <c r="C30" s="505">
        <v>0</v>
      </c>
      <c r="D30" s="504">
        <v>0</v>
      </c>
      <c r="E30" s="505">
        <v>0</v>
      </c>
      <c r="F30" s="504">
        <v>0</v>
      </c>
      <c r="G30" s="505">
        <v>0</v>
      </c>
      <c r="H30" s="504">
        <v>0</v>
      </c>
      <c r="I30" s="505">
        <v>0</v>
      </c>
      <c r="J30" s="504">
        <v>0</v>
      </c>
      <c r="K30" s="506">
        <v>0</v>
      </c>
      <c r="L30" s="507">
        <f>B30+D30+F30+H30+J30</f>
        <v>0</v>
      </c>
      <c r="M30" s="506">
        <f>C30+E30+G30+I30+K30</f>
        <v>0</v>
      </c>
    </row>
    <row r="31" spans="1:13" s="344" customFormat="1">
      <c r="A31" s="844" t="s">
        <v>63</v>
      </c>
      <c r="B31" s="847">
        <f t="shared" ref="B31:M31" si="4">B28+B29+B30</f>
        <v>406</v>
      </c>
      <c r="C31" s="848">
        <f t="shared" si="4"/>
        <v>966.78</v>
      </c>
      <c r="D31" s="847">
        <f t="shared" si="4"/>
        <v>7608</v>
      </c>
      <c r="E31" s="848">
        <f t="shared" si="4"/>
        <v>36556.729999999996</v>
      </c>
      <c r="F31" s="847">
        <f t="shared" si="4"/>
        <v>35</v>
      </c>
      <c r="G31" s="848">
        <f t="shared" si="4"/>
        <v>86.49</v>
      </c>
      <c r="H31" s="847">
        <f t="shared" si="4"/>
        <v>1941</v>
      </c>
      <c r="I31" s="848">
        <f t="shared" si="4"/>
        <v>7006.9699999999993</v>
      </c>
      <c r="J31" s="847">
        <f t="shared" si="4"/>
        <v>0</v>
      </c>
      <c r="K31" s="848">
        <f t="shared" si="4"/>
        <v>0</v>
      </c>
      <c r="L31" s="847">
        <f t="shared" si="4"/>
        <v>9990</v>
      </c>
      <c r="M31" s="848">
        <f t="shared" si="4"/>
        <v>44616.670000000006</v>
      </c>
    </row>
    <row r="32" spans="1:13" s="344" customFormat="1">
      <c r="A32" s="845" t="s">
        <v>566</v>
      </c>
      <c r="B32" s="846">
        <v>490</v>
      </c>
      <c r="C32" s="505">
        <v>882.2</v>
      </c>
      <c r="D32" s="504">
        <v>17499</v>
      </c>
      <c r="E32" s="505">
        <v>49441.959999999992</v>
      </c>
      <c r="F32" s="504">
        <v>60</v>
      </c>
      <c r="G32" s="505">
        <v>137.11000000000001</v>
      </c>
      <c r="H32" s="504">
        <v>3757</v>
      </c>
      <c r="I32" s="505">
        <v>8954.91</v>
      </c>
      <c r="J32" s="504">
        <v>0</v>
      </c>
      <c r="K32" s="506">
        <v>0</v>
      </c>
      <c r="L32" s="507">
        <v>21798</v>
      </c>
      <c r="M32" s="506">
        <v>59416.18</v>
      </c>
    </row>
  </sheetData>
  <mergeCells count="10"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scale="95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G1"/>
    </sheetView>
  </sheetViews>
  <sheetFormatPr defaultRowHeight="15"/>
  <sheetData>
    <row r="1" spans="1:8">
      <c r="A1" s="1494">
        <v>69</v>
      </c>
      <c r="B1" s="1494"/>
      <c r="C1" s="1494"/>
      <c r="D1" s="1494"/>
      <c r="E1" s="1494"/>
      <c r="F1" s="1494"/>
      <c r="G1" s="1494"/>
    </row>
    <row r="2" spans="1:8" ht="15.75">
      <c r="A2" s="1531" t="s">
        <v>288</v>
      </c>
      <c r="B2" s="1531"/>
      <c r="C2" s="1531"/>
      <c r="D2" s="1531"/>
      <c r="E2" s="1531"/>
      <c r="F2" s="1531"/>
      <c r="G2" s="1531"/>
    </row>
    <row r="3" spans="1:8" ht="15.75">
      <c r="B3" s="1531" t="s">
        <v>192</v>
      </c>
      <c r="C3" s="1531"/>
      <c r="D3" s="1531"/>
      <c r="E3" s="1531"/>
      <c r="F3" s="1531"/>
      <c r="G3" s="1531"/>
    </row>
    <row r="4" spans="1:8" ht="57.75">
      <c r="A4" s="237" t="s">
        <v>130</v>
      </c>
      <c r="B4" s="237" t="s">
        <v>289</v>
      </c>
      <c r="C4" s="237" t="s">
        <v>243</v>
      </c>
      <c r="D4" s="237" t="s">
        <v>290</v>
      </c>
      <c r="E4" s="237" t="s">
        <v>291</v>
      </c>
      <c r="F4" s="237" t="s">
        <v>292</v>
      </c>
      <c r="G4" s="237" t="s">
        <v>293</v>
      </c>
    </row>
    <row r="5" spans="1:8">
      <c r="A5" s="435">
        <v>1</v>
      </c>
      <c r="B5" s="434" t="s">
        <v>78</v>
      </c>
      <c r="C5" s="102">
        <v>35</v>
      </c>
      <c r="D5" s="102">
        <v>2</v>
      </c>
      <c r="E5" s="353">
        <v>1</v>
      </c>
      <c r="F5" s="102">
        <v>11</v>
      </c>
      <c r="G5" s="353">
        <v>5.6</v>
      </c>
    </row>
    <row r="6" spans="1:8" s="344" customFormat="1">
      <c r="A6" s="435">
        <v>2</v>
      </c>
      <c r="B6" s="465" t="s">
        <v>27</v>
      </c>
      <c r="C6" s="435">
        <v>20</v>
      </c>
      <c r="D6" s="435">
        <v>0</v>
      </c>
      <c r="E6" s="354">
        <v>0</v>
      </c>
      <c r="F6" s="435">
        <v>0</v>
      </c>
      <c r="G6" s="354">
        <v>0</v>
      </c>
    </row>
    <row r="7" spans="1:8">
      <c r="A7" s="102">
        <v>3</v>
      </c>
      <c r="B7" s="434" t="s">
        <v>46</v>
      </c>
      <c r="C7" s="102">
        <v>30</v>
      </c>
      <c r="D7" s="102">
        <v>2</v>
      </c>
      <c r="E7" s="353">
        <v>1.05</v>
      </c>
      <c r="F7" s="102">
        <v>15</v>
      </c>
      <c r="G7" s="353">
        <v>5</v>
      </c>
    </row>
    <row r="8" spans="1:8" s="344" customFormat="1">
      <c r="A8" s="435">
        <v>4</v>
      </c>
      <c r="B8" s="465" t="s">
        <v>32</v>
      </c>
      <c r="C8" s="435">
        <v>200</v>
      </c>
      <c r="D8" s="435">
        <v>5</v>
      </c>
      <c r="E8" s="354">
        <v>5</v>
      </c>
      <c r="F8" s="435">
        <v>727</v>
      </c>
      <c r="G8" s="354">
        <v>546.79999999999995</v>
      </c>
    </row>
    <row r="9" spans="1:8">
      <c r="A9" s="102">
        <v>5</v>
      </c>
      <c r="B9" s="434" t="s">
        <v>83</v>
      </c>
      <c r="C9" s="102">
        <v>30</v>
      </c>
      <c r="D9" s="102">
        <v>0</v>
      </c>
      <c r="E9" s="353">
        <v>0</v>
      </c>
      <c r="F9" s="102">
        <v>0</v>
      </c>
      <c r="G9" s="353">
        <v>0</v>
      </c>
    </row>
    <row r="10" spans="1:8">
      <c r="A10" s="435">
        <v>6</v>
      </c>
      <c r="B10" s="465" t="s">
        <v>85</v>
      </c>
      <c r="C10" s="435">
        <v>200</v>
      </c>
      <c r="D10" s="435">
        <v>3</v>
      </c>
      <c r="E10" s="354">
        <v>1.5</v>
      </c>
      <c r="F10" s="435">
        <v>98</v>
      </c>
      <c r="G10" s="354">
        <v>65.599999999999994</v>
      </c>
      <c r="H10" s="741"/>
    </row>
    <row r="11" spans="1:8" s="344" customFormat="1">
      <c r="A11" s="435">
        <v>7</v>
      </c>
      <c r="B11" s="465" t="s">
        <v>17</v>
      </c>
      <c r="C11" s="435">
        <v>400</v>
      </c>
      <c r="D11" s="435">
        <v>12</v>
      </c>
      <c r="E11" s="354">
        <v>17.170000000000002</v>
      </c>
      <c r="F11" s="435">
        <v>1162</v>
      </c>
      <c r="G11" s="354">
        <v>507.17</v>
      </c>
    </row>
    <row r="12" spans="1:8" s="344" customFormat="1">
      <c r="A12" s="435">
        <v>8</v>
      </c>
      <c r="B12" s="465" t="s">
        <v>26</v>
      </c>
      <c r="C12" s="435">
        <v>20</v>
      </c>
      <c r="D12" s="435">
        <v>0</v>
      </c>
      <c r="E12" s="354">
        <v>0</v>
      </c>
      <c r="F12" s="435">
        <v>10</v>
      </c>
      <c r="G12" s="354">
        <v>21.35</v>
      </c>
    </row>
    <row r="13" spans="1:8" s="344" customFormat="1">
      <c r="A13" s="435">
        <v>9</v>
      </c>
      <c r="B13" s="465" t="s">
        <v>11</v>
      </c>
      <c r="C13" s="435">
        <v>20</v>
      </c>
      <c r="D13" s="435">
        <v>0</v>
      </c>
      <c r="E13" s="354">
        <v>0</v>
      </c>
      <c r="F13" s="435">
        <v>0</v>
      </c>
      <c r="G13" s="354">
        <v>0</v>
      </c>
    </row>
    <row r="14" spans="1:8">
      <c r="A14" s="102">
        <v>10</v>
      </c>
      <c r="B14" s="434" t="s">
        <v>90</v>
      </c>
      <c r="C14" s="102">
        <v>27.2</v>
      </c>
      <c r="D14" s="102">
        <v>4</v>
      </c>
      <c r="E14" s="353">
        <v>2</v>
      </c>
      <c r="F14" s="102">
        <v>90</v>
      </c>
      <c r="G14" s="353">
        <v>47.14</v>
      </c>
    </row>
    <row r="15" spans="1:8">
      <c r="A15" s="102">
        <v>11</v>
      </c>
      <c r="B15" s="434" t="s">
        <v>92</v>
      </c>
      <c r="C15" s="102">
        <v>141.55000000000001</v>
      </c>
      <c r="D15" s="102">
        <v>0</v>
      </c>
      <c r="E15" s="353">
        <v>0</v>
      </c>
      <c r="F15" s="102">
        <v>0</v>
      </c>
      <c r="G15" s="353">
        <v>0</v>
      </c>
    </row>
    <row r="16" spans="1:8">
      <c r="A16" s="102">
        <v>12</v>
      </c>
      <c r="B16" s="434" t="s">
        <v>51</v>
      </c>
      <c r="C16" s="102">
        <v>30</v>
      </c>
      <c r="D16" s="102">
        <v>0</v>
      </c>
      <c r="E16" s="353">
        <v>0</v>
      </c>
      <c r="F16" s="102">
        <v>0</v>
      </c>
      <c r="G16" s="353">
        <v>0</v>
      </c>
    </row>
    <row r="17" spans="1:7">
      <c r="A17" s="102">
        <v>13</v>
      </c>
      <c r="B17" s="434" t="s">
        <v>52</v>
      </c>
      <c r="C17" s="102">
        <v>25</v>
      </c>
      <c r="D17" s="102">
        <v>0</v>
      </c>
      <c r="E17" s="353">
        <v>0</v>
      </c>
      <c r="F17" s="102">
        <v>0</v>
      </c>
      <c r="G17" s="353">
        <v>0</v>
      </c>
    </row>
    <row r="18" spans="1:7" s="344" customFormat="1">
      <c r="A18" s="435">
        <v>14</v>
      </c>
      <c r="B18" s="465" t="s">
        <v>28</v>
      </c>
      <c r="C18" s="435">
        <v>400</v>
      </c>
      <c r="D18" s="435">
        <v>0</v>
      </c>
      <c r="E18" s="354">
        <v>0</v>
      </c>
      <c r="F18" s="435">
        <v>2107</v>
      </c>
      <c r="G18" s="354">
        <v>1334</v>
      </c>
    </row>
    <row r="19" spans="1:7" s="344" customFormat="1">
      <c r="A19" s="435">
        <v>15</v>
      </c>
      <c r="B19" s="465" t="s">
        <v>10</v>
      </c>
      <c r="C19" s="435">
        <v>3000</v>
      </c>
      <c r="D19" s="435">
        <v>60</v>
      </c>
      <c r="E19" s="354">
        <v>38.14</v>
      </c>
      <c r="F19" s="435">
        <v>5044</v>
      </c>
      <c r="G19" s="354">
        <v>3370</v>
      </c>
    </row>
    <row r="20" spans="1:7">
      <c r="A20" s="102">
        <v>16</v>
      </c>
      <c r="B20" s="434" t="s">
        <v>98</v>
      </c>
      <c r="C20" s="102">
        <v>64.599999999999994</v>
      </c>
      <c r="D20" s="102">
        <v>0</v>
      </c>
      <c r="E20" s="353">
        <v>0</v>
      </c>
      <c r="F20" s="102">
        <v>223</v>
      </c>
      <c r="G20" s="353">
        <v>170</v>
      </c>
    </row>
    <row r="21" spans="1:7" s="344" customFormat="1">
      <c r="A21" s="435">
        <v>17</v>
      </c>
      <c r="B21" s="465" t="s">
        <v>35</v>
      </c>
      <c r="C21" s="435">
        <v>200</v>
      </c>
      <c r="D21" s="435">
        <v>2</v>
      </c>
      <c r="E21" s="354">
        <v>0.5</v>
      </c>
      <c r="F21" s="435">
        <v>242</v>
      </c>
      <c r="G21" s="354">
        <v>91.7</v>
      </c>
    </row>
    <row r="22" spans="1:7">
      <c r="A22" s="102">
        <v>18</v>
      </c>
      <c r="B22" s="434" t="s">
        <v>54</v>
      </c>
      <c r="C22" s="102">
        <v>148.30000000000001</v>
      </c>
      <c r="D22" s="102">
        <v>0</v>
      </c>
      <c r="E22" s="353">
        <v>0</v>
      </c>
      <c r="F22" s="102">
        <v>121</v>
      </c>
      <c r="G22" s="353">
        <v>209</v>
      </c>
    </row>
    <row r="23" spans="1:7">
      <c r="A23" s="102">
        <v>19</v>
      </c>
      <c r="B23" s="434" t="s">
        <v>102</v>
      </c>
      <c r="C23" s="102">
        <v>30.35</v>
      </c>
      <c r="D23" s="102">
        <v>4</v>
      </c>
      <c r="E23" s="353">
        <v>3.9</v>
      </c>
      <c r="F23" s="102">
        <v>81</v>
      </c>
      <c r="G23" s="353">
        <v>60.7</v>
      </c>
    </row>
    <row r="24" spans="1:7">
      <c r="A24" s="102">
        <v>20</v>
      </c>
      <c r="B24" s="434" t="s">
        <v>104</v>
      </c>
      <c r="C24" s="102">
        <v>151.35</v>
      </c>
      <c r="D24" s="102">
        <v>1</v>
      </c>
      <c r="E24" s="353">
        <v>3</v>
      </c>
      <c r="F24" s="102">
        <v>7</v>
      </c>
      <c r="G24" s="353">
        <v>6</v>
      </c>
    </row>
    <row r="25" spans="1:7">
      <c r="A25" s="102">
        <v>21</v>
      </c>
      <c r="B25" s="434" t="s">
        <v>106</v>
      </c>
      <c r="C25" s="102">
        <v>20</v>
      </c>
      <c r="D25" s="102">
        <v>0</v>
      </c>
      <c r="E25" s="353">
        <v>0</v>
      </c>
      <c r="F25" s="102">
        <v>0</v>
      </c>
      <c r="G25" s="353">
        <v>0</v>
      </c>
    </row>
    <row r="26" spans="1:7">
      <c r="A26" s="102">
        <v>22</v>
      </c>
      <c r="B26" s="434" t="s">
        <v>481</v>
      </c>
      <c r="C26" s="102">
        <v>20</v>
      </c>
      <c r="D26" s="102">
        <v>0</v>
      </c>
      <c r="E26" s="353">
        <v>0</v>
      </c>
      <c r="F26" s="102">
        <v>0</v>
      </c>
      <c r="G26" s="353">
        <v>0</v>
      </c>
    </row>
    <row r="27" spans="1:7">
      <c r="A27" s="102">
        <v>23</v>
      </c>
      <c r="B27" s="434" t="s">
        <v>294</v>
      </c>
      <c r="C27" s="102">
        <v>20</v>
      </c>
      <c r="D27" s="102">
        <v>0</v>
      </c>
      <c r="E27" s="353">
        <v>0</v>
      </c>
      <c r="F27" s="102">
        <v>0</v>
      </c>
      <c r="G27" s="353">
        <v>0</v>
      </c>
    </row>
    <row r="28" spans="1:7" s="344" customFormat="1">
      <c r="A28" s="864" t="s">
        <v>113</v>
      </c>
      <c r="B28" s="865" t="s">
        <v>13</v>
      </c>
      <c r="C28" s="864">
        <f>SUM(C5:C27)</f>
        <v>5233.3500000000013</v>
      </c>
      <c r="D28" s="864">
        <f>SUM(D5:D27)</f>
        <v>95</v>
      </c>
      <c r="E28" s="866">
        <f>SUM(E5:E27)</f>
        <v>73.260000000000005</v>
      </c>
      <c r="F28" s="864">
        <f>SUM(F5:F27)</f>
        <v>9938</v>
      </c>
      <c r="G28" s="671">
        <f>SUM(G5:G27)</f>
        <v>6440.0599999999995</v>
      </c>
    </row>
    <row r="29" spans="1:7" s="344" customFormat="1">
      <c r="A29" s="435">
        <v>1</v>
      </c>
      <c r="B29" s="465" t="s">
        <v>16</v>
      </c>
      <c r="C29" s="435">
        <v>1000</v>
      </c>
      <c r="D29" s="435">
        <v>55</v>
      </c>
      <c r="E29" s="694">
        <v>104.1</v>
      </c>
      <c r="F29" s="435">
        <v>3352</v>
      </c>
      <c r="G29" s="354">
        <v>2476.67</v>
      </c>
    </row>
    <row r="30" spans="1:7" s="344" customFormat="1">
      <c r="A30" s="435">
        <v>1</v>
      </c>
      <c r="B30" s="465" t="s">
        <v>110</v>
      </c>
      <c r="C30" s="435">
        <v>500</v>
      </c>
      <c r="D30" s="435">
        <v>3</v>
      </c>
      <c r="E30" s="694">
        <v>2.5099999999999998</v>
      </c>
      <c r="F30" s="435">
        <v>698</v>
      </c>
      <c r="G30" s="354">
        <v>504.68</v>
      </c>
    </row>
    <row r="31" spans="1:7" s="344" customFormat="1">
      <c r="A31" s="864" t="s">
        <v>135</v>
      </c>
      <c r="B31" s="865" t="s">
        <v>13</v>
      </c>
      <c r="C31" s="864">
        <f>SUM(C28:C30)</f>
        <v>6733.3500000000013</v>
      </c>
      <c r="D31" s="864">
        <f>SUM(D28:D30)</f>
        <v>153</v>
      </c>
      <c r="E31" s="866">
        <f>SUM(E28:E30)</f>
        <v>179.87</v>
      </c>
      <c r="F31" s="864">
        <f>SUM(F28:F30)</f>
        <v>13988</v>
      </c>
      <c r="G31" s="866">
        <f>SUM(G28:G30)</f>
        <v>9421.41</v>
      </c>
    </row>
    <row r="32" spans="1:7" s="344" customFormat="1">
      <c r="A32" s="867"/>
      <c r="B32" s="685"/>
      <c r="C32" s="867"/>
      <c r="D32" s="867" t="s">
        <v>295</v>
      </c>
      <c r="E32" s="868"/>
      <c r="F32" s="867"/>
      <c r="G32" s="868"/>
    </row>
    <row r="33" spans="1:7" s="344" customFormat="1">
      <c r="A33" s="435"/>
      <c r="B33" s="865" t="s">
        <v>13</v>
      </c>
      <c r="C33" s="864">
        <v>6650</v>
      </c>
      <c r="D33" s="864">
        <v>1220</v>
      </c>
      <c r="E33" s="671">
        <v>1327.78</v>
      </c>
      <c r="F33" s="864">
        <v>12157</v>
      </c>
      <c r="G33" s="671">
        <v>7539.0300000000007</v>
      </c>
    </row>
  </sheetData>
  <mergeCells count="3">
    <mergeCell ref="A1:G1"/>
    <mergeCell ref="A2:G2"/>
    <mergeCell ref="B3:G3"/>
  </mergeCells>
  <pageMargins left="0.7" right="0.7" top="0.75" bottom="0.75" header="0.3" footer="0.3"/>
  <pageSetup paperSize="9" scale="120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sqref="A1:O1"/>
    </sheetView>
  </sheetViews>
  <sheetFormatPr defaultRowHeight="15"/>
  <cols>
    <col min="1" max="1" width="12.140625" bestFit="1" customWidth="1"/>
    <col min="2" max="2" width="5.140625" bestFit="1" customWidth="1"/>
    <col min="3" max="3" width="8.28515625" bestFit="1" customWidth="1"/>
    <col min="4" max="4" width="5.140625" bestFit="1" customWidth="1"/>
    <col min="5" max="5" width="9.5703125" bestFit="1" customWidth="1"/>
    <col min="6" max="6" width="4.140625" bestFit="1" customWidth="1"/>
    <col min="7" max="7" width="9.5703125" bestFit="1" customWidth="1"/>
    <col min="8" max="8" width="5.140625" bestFit="1" customWidth="1"/>
    <col min="9" max="9" width="9.5703125" bestFit="1" customWidth="1"/>
    <col min="10" max="10" width="4.140625" bestFit="1" customWidth="1"/>
    <col min="11" max="11" width="8.28515625" bestFit="1" customWidth="1"/>
    <col min="12" max="12" width="5.140625" bestFit="1" customWidth="1"/>
    <col min="13" max="13" width="9.5703125" bestFit="1" customWidth="1"/>
    <col min="14" max="14" width="6" bestFit="1" customWidth="1"/>
    <col min="15" max="15" width="9.5703125" bestFit="1" customWidth="1"/>
  </cols>
  <sheetData>
    <row r="1" spans="1:15">
      <c r="A1" s="1532">
        <v>70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</row>
    <row r="2" spans="1:15" ht="23.25">
      <c r="A2" s="1533" t="s">
        <v>342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  <c r="M2" s="1533"/>
      <c r="N2" s="270"/>
      <c r="O2" s="270"/>
    </row>
    <row r="3" spans="1:15" ht="15.75">
      <c r="A3" s="172"/>
      <c r="B3" s="172"/>
      <c r="C3" s="172"/>
      <c r="D3" s="172"/>
      <c r="E3" s="1534" t="s">
        <v>563</v>
      </c>
      <c r="F3" s="1534"/>
      <c r="G3" s="1534"/>
      <c r="H3" s="1534"/>
      <c r="I3" s="1534"/>
      <c r="J3" s="172"/>
      <c r="K3" s="172"/>
      <c r="L3" s="271"/>
      <c r="M3" s="1535" t="s">
        <v>3</v>
      </c>
      <c r="N3" s="1535"/>
      <c r="O3" s="1535"/>
    </row>
    <row r="4" spans="1:15">
      <c r="A4" s="1536" t="s">
        <v>343</v>
      </c>
      <c r="B4" s="1537" t="s">
        <v>344</v>
      </c>
      <c r="C4" s="1537"/>
      <c r="D4" s="1537"/>
      <c r="E4" s="1537"/>
      <c r="F4" s="1537" t="s">
        <v>345</v>
      </c>
      <c r="G4" s="1537"/>
      <c r="H4" s="1537"/>
      <c r="I4" s="1538"/>
      <c r="J4" s="1539" t="s">
        <v>346</v>
      </c>
      <c r="K4" s="1539"/>
      <c r="L4" s="1539"/>
      <c r="M4" s="1540"/>
      <c r="N4" s="1541" t="s">
        <v>347</v>
      </c>
      <c r="O4" s="1541"/>
    </row>
    <row r="5" spans="1:15">
      <c r="A5" s="1536"/>
      <c r="B5" s="1542" t="s">
        <v>348</v>
      </c>
      <c r="C5" s="1542"/>
      <c r="D5" s="1543" t="s">
        <v>349</v>
      </c>
      <c r="E5" s="1543"/>
      <c r="F5" s="1542" t="s">
        <v>348</v>
      </c>
      <c r="G5" s="1542"/>
      <c r="H5" s="1543" t="s">
        <v>349</v>
      </c>
      <c r="I5" s="1543"/>
      <c r="J5" s="1544" t="s">
        <v>348</v>
      </c>
      <c r="K5" s="1544"/>
      <c r="L5" s="1545" t="s">
        <v>349</v>
      </c>
      <c r="M5" s="1546"/>
      <c r="N5" s="1541"/>
      <c r="O5" s="1541"/>
    </row>
    <row r="6" spans="1:15">
      <c r="A6" s="1536"/>
      <c r="B6" s="272" t="s">
        <v>282</v>
      </c>
      <c r="C6" s="272" t="s">
        <v>350</v>
      </c>
      <c r="D6" s="272" t="s">
        <v>282</v>
      </c>
      <c r="E6" s="272" t="s">
        <v>350</v>
      </c>
      <c r="F6" s="272" t="s">
        <v>282</v>
      </c>
      <c r="G6" s="272" t="s">
        <v>350</v>
      </c>
      <c r="H6" s="272" t="s">
        <v>282</v>
      </c>
      <c r="I6" s="272" t="s">
        <v>350</v>
      </c>
      <c r="J6" s="272" t="s">
        <v>282</v>
      </c>
      <c r="K6" s="272" t="s">
        <v>350</v>
      </c>
      <c r="L6" s="272" t="s">
        <v>282</v>
      </c>
      <c r="M6" s="272" t="s">
        <v>350</v>
      </c>
      <c r="N6" s="273" t="s">
        <v>282</v>
      </c>
      <c r="O6" s="273" t="s">
        <v>350</v>
      </c>
    </row>
    <row r="7" spans="1:15" ht="15.75">
      <c r="A7" s="532" t="s">
        <v>78</v>
      </c>
      <c r="B7" s="533">
        <v>17</v>
      </c>
      <c r="C7" s="534">
        <v>35</v>
      </c>
      <c r="D7" s="533">
        <v>79</v>
      </c>
      <c r="E7" s="534">
        <v>784.32</v>
      </c>
      <c r="F7" s="533">
        <v>15</v>
      </c>
      <c r="G7" s="534">
        <v>252</v>
      </c>
      <c r="H7" s="533">
        <v>134</v>
      </c>
      <c r="I7" s="534">
        <v>2965</v>
      </c>
      <c r="J7" s="533">
        <v>0</v>
      </c>
      <c r="K7" s="534">
        <v>0</v>
      </c>
      <c r="L7" s="533">
        <v>0</v>
      </c>
      <c r="M7" s="534">
        <v>0</v>
      </c>
      <c r="N7" s="533">
        <f t="shared" ref="N7:O7" si="0">D7+H7+L7</f>
        <v>213</v>
      </c>
      <c r="O7" s="534">
        <f t="shared" si="0"/>
        <v>3749.32</v>
      </c>
    </row>
    <row r="8" spans="1:15" s="344" customFormat="1">
      <c r="A8" s="539" t="s">
        <v>27</v>
      </c>
      <c r="B8" s="540">
        <v>15</v>
      </c>
      <c r="C8" s="541">
        <v>22.64</v>
      </c>
      <c r="D8" s="540">
        <v>15</v>
      </c>
      <c r="E8" s="541">
        <v>22.64</v>
      </c>
      <c r="F8" s="540">
        <v>2</v>
      </c>
      <c r="G8" s="541">
        <v>1350.11</v>
      </c>
      <c r="H8" s="540">
        <v>5</v>
      </c>
      <c r="I8" s="541">
        <v>1705.01</v>
      </c>
      <c r="J8" s="540">
        <v>0</v>
      </c>
      <c r="K8" s="541">
        <v>0</v>
      </c>
      <c r="L8" s="540">
        <v>0</v>
      </c>
      <c r="M8" s="541">
        <v>0</v>
      </c>
      <c r="N8" s="540">
        <f t="shared" ref="N8:O32" si="1">D8+H8+L8</f>
        <v>20</v>
      </c>
      <c r="O8" s="541">
        <f t="shared" si="1"/>
        <v>1727.65</v>
      </c>
    </row>
    <row r="9" spans="1:15" s="344" customFormat="1" ht="15.75">
      <c r="A9" s="814" t="s">
        <v>46</v>
      </c>
      <c r="B9" s="815">
        <v>13</v>
      </c>
      <c r="C9" s="816">
        <v>8.1999999999999993</v>
      </c>
      <c r="D9" s="815">
        <v>23</v>
      </c>
      <c r="E9" s="816">
        <v>44.2</v>
      </c>
      <c r="F9" s="815">
        <v>0</v>
      </c>
      <c r="G9" s="816">
        <v>0</v>
      </c>
      <c r="H9" s="815">
        <v>0</v>
      </c>
      <c r="I9" s="816">
        <v>0</v>
      </c>
      <c r="J9" s="815">
        <v>0</v>
      </c>
      <c r="K9" s="816">
        <v>0</v>
      </c>
      <c r="L9" s="815">
        <v>0</v>
      </c>
      <c r="M9" s="816">
        <v>0</v>
      </c>
      <c r="N9" s="815">
        <f t="shared" si="1"/>
        <v>23</v>
      </c>
      <c r="O9" s="816">
        <f t="shared" si="1"/>
        <v>44.2</v>
      </c>
    </row>
    <row r="10" spans="1:15" s="344" customFormat="1">
      <c r="A10" s="499" t="s">
        <v>32</v>
      </c>
      <c r="B10" s="500">
        <v>54</v>
      </c>
      <c r="C10" s="501">
        <v>133.33000000000001</v>
      </c>
      <c r="D10" s="500">
        <v>69</v>
      </c>
      <c r="E10" s="501">
        <v>163.53</v>
      </c>
      <c r="F10" s="500">
        <v>44</v>
      </c>
      <c r="G10" s="501">
        <v>40.06</v>
      </c>
      <c r="H10" s="500">
        <v>68</v>
      </c>
      <c r="I10" s="501">
        <v>66.06</v>
      </c>
      <c r="J10" s="500">
        <v>0</v>
      </c>
      <c r="K10" s="501">
        <v>0</v>
      </c>
      <c r="L10" s="500">
        <v>0</v>
      </c>
      <c r="M10" s="501">
        <v>0</v>
      </c>
      <c r="N10" s="500">
        <f t="shared" si="1"/>
        <v>137</v>
      </c>
      <c r="O10" s="501">
        <f t="shared" si="1"/>
        <v>229.59</v>
      </c>
    </row>
    <row r="11" spans="1:15" s="344" customFormat="1" ht="15.75">
      <c r="A11" s="814" t="s">
        <v>83</v>
      </c>
      <c r="B11" s="815">
        <v>8</v>
      </c>
      <c r="C11" s="816">
        <v>46.6</v>
      </c>
      <c r="D11" s="815">
        <v>35</v>
      </c>
      <c r="E11" s="816">
        <v>349.09</v>
      </c>
      <c r="F11" s="815">
        <v>0</v>
      </c>
      <c r="G11" s="816">
        <v>0</v>
      </c>
      <c r="H11" s="815">
        <v>1</v>
      </c>
      <c r="I11" s="816">
        <v>95</v>
      </c>
      <c r="J11" s="815">
        <v>0</v>
      </c>
      <c r="K11" s="816">
        <v>0</v>
      </c>
      <c r="L11" s="815">
        <v>0</v>
      </c>
      <c r="M11" s="816">
        <v>0</v>
      </c>
      <c r="N11" s="815">
        <f t="shared" si="1"/>
        <v>36</v>
      </c>
      <c r="O11" s="816">
        <f t="shared" si="1"/>
        <v>444.09</v>
      </c>
    </row>
    <row r="12" spans="1:15" s="344" customFormat="1">
      <c r="A12" s="539" t="s">
        <v>85</v>
      </c>
      <c r="B12" s="540">
        <v>351</v>
      </c>
      <c r="C12" s="541">
        <v>1066.3699999999999</v>
      </c>
      <c r="D12" s="540">
        <v>1409</v>
      </c>
      <c r="E12" s="541">
        <v>2898.99</v>
      </c>
      <c r="F12" s="540">
        <v>121</v>
      </c>
      <c r="G12" s="541">
        <v>903.37</v>
      </c>
      <c r="H12" s="540">
        <v>257</v>
      </c>
      <c r="I12" s="541">
        <v>3142.42</v>
      </c>
      <c r="J12" s="540">
        <v>5</v>
      </c>
      <c r="K12" s="541">
        <v>998.29</v>
      </c>
      <c r="L12" s="540">
        <v>6</v>
      </c>
      <c r="M12" s="541">
        <v>1005</v>
      </c>
      <c r="N12" s="540">
        <f t="shared" si="1"/>
        <v>1672</v>
      </c>
      <c r="O12" s="541">
        <f t="shared" si="1"/>
        <v>7046.41</v>
      </c>
    </row>
    <row r="13" spans="1:15" s="344" customFormat="1">
      <c r="A13" s="539" t="s">
        <v>17</v>
      </c>
      <c r="B13" s="540">
        <v>54</v>
      </c>
      <c r="C13" s="541">
        <v>217.86</v>
      </c>
      <c r="D13" s="540">
        <v>473</v>
      </c>
      <c r="E13" s="541">
        <v>641.30999999999995</v>
      </c>
      <c r="F13" s="540">
        <v>2</v>
      </c>
      <c r="G13" s="541">
        <v>8.2200000000000006</v>
      </c>
      <c r="H13" s="540">
        <v>2</v>
      </c>
      <c r="I13" s="541">
        <v>8.2200000000000006</v>
      </c>
      <c r="J13" s="540">
        <v>0</v>
      </c>
      <c r="K13" s="541">
        <v>0</v>
      </c>
      <c r="L13" s="540">
        <v>0</v>
      </c>
      <c r="M13" s="541">
        <v>0</v>
      </c>
      <c r="N13" s="540">
        <f t="shared" si="1"/>
        <v>475</v>
      </c>
      <c r="O13" s="541">
        <f t="shared" si="1"/>
        <v>649.53</v>
      </c>
    </row>
    <row r="14" spans="1:15" s="344" customFormat="1">
      <c r="A14" s="539" t="s">
        <v>26</v>
      </c>
      <c r="B14" s="540">
        <v>5</v>
      </c>
      <c r="C14" s="541">
        <v>511.65</v>
      </c>
      <c r="D14" s="540">
        <v>74</v>
      </c>
      <c r="E14" s="541">
        <v>375.25</v>
      </c>
      <c r="F14" s="540">
        <v>2</v>
      </c>
      <c r="G14" s="541">
        <v>25.01</v>
      </c>
      <c r="H14" s="540">
        <v>65</v>
      </c>
      <c r="I14" s="541">
        <v>428.2</v>
      </c>
      <c r="J14" s="540">
        <v>0</v>
      </c>
      <c r="K14" s="541">
        <v>0</v>
      </c>
      <c r="L14" s="540">
        <v>0</v>
      </c>
      <c r="M14" s="541">
        <v>0</v>
      </c>
      <c r="N14" s="540">
        <f t="shared" si="1"/>
        <v>139</v>
      </c>
      <c r="O14" s="541">
        <f t="shared" si="1"/>
        <v>803.45</v>
      </c>
    </row>
    <row r="15" spans="1:15" s="344" customFormat="1">
      <c r="A15" s="499" t="s">
        <v>11</v>
      </c>
      <c r="B15" s="500">
        <v>0</v>
      </c>
      <c r="C15" s="501">
        <v>0</v>
      </c>
      <c r="D15" s="500">
        <v>6</v>
      </c>
      <c r="E15" s="501">
        <v>37.03</v>
      </c>
      <c r="F15" s="500">
        <v>0</v>
      </c>
      <c r="G15" s="501">
        <v>0</v>
      </c>
      <c r="H15" s="500">
        <v>2</v>
      </c>
      <c r="I15" s="501">
        <v>18.48</v>
      </c>
      <c r="J15" s="500">
        <v>0</v>
      </c>
      <c r="K15" s="501">
        <v>0</v>
      </c>
      <c r="L15" s="500">
        <v>0</v>
      </c>
      <c r="M15" s="501">
        <v>0</v>
      </c>
      <c r="N15" s="500">
        <f t="shared" si="1"/>
        <v>8</v>
      </c>
      <c r="O15" s="501">
        <f t="shared" si="1"/>
        <v>55.510000000000005</v>
      </c>
    </row>
    <row r="16" spans="1:15" ht="15.75">
      <c r="A16" s="532" t="s">
        <v>90</v>
      </c>
      <c r="B16" s="533">
        <v>7</v>
      </c>
      <c r="C16" s="534">
        <v>25.2</v>
      </c>
      <c r="D16" s="533">
        <v>162</v>
      </c>
      <c r="E16" s="534">
        <v>1092.6300000000001</v>
      </c>
      <c r="F16" s="533">
        <v>2</v>
      </c>
      <c r="G16" s="534">
        <v>0</v>
      </c>
      <c r="H16" s="533">
        <v>12</v>
      </c>
      <c r="I16" s="534">
        <v>915.07</v>
      </c>
      <c r="J16" s="533">
        <v>0</v>
      </c>
      <c r="K16" s="534">
        <v>0</v>
      </c>
      <c r="L16" s="533">
        <v>0</v>
      </c>
      <c r="M16" s="534">
        <v>0</v>
      </c>
      <c r="N16" s="533">
        <f t="shared" si="1"/>
        <v>174</v>
      </c>
      <c r="O16" s="534">
        <f t="shared" si="1"/>
        <v>2007.7000000000003</v>
      </c>
    </row>
    <row r="17" spans="1:15" ht="15.75">
      <c r="A17" s="532" t="s">
        <v>284</v>
      </c>
      <c r="B17" s="535">
        <v>0</v>
      </c>
      <c r="C17" s="536">
        <v>0</v>
      </c>
      <c r="D17" s="535">
        <v>18</v>
      </c>
      <c r="E17" s="536">
        <v>220</v>
      </c>
      <c r="F17" s="535">
        <v>0</v>
      </c>
      <c r="G17" s="536">
        <v>0</v>
      </c>
      <c r="H17" s="535">
        <v>36</v>
      </c>
      <c r="I17" s="536">
        <v>1311.56</v>
      </c>
      <c r="J17" s="535">
        <v>0</v>
      </c>
      <c r="K17" s="536">
        <v>0</v>
      </c>
      <c r="L17" s="535">
        <v>0</v>
      </c>
      <c r="M17" s="536">
        <v>0</v>
      </c>
      <c r="N17" s="535">
        <f t="shared" si="1"/>
        <v>54</v>
      </c>
      <c r="O17" s="536">
        <f t="shared" si="1"/>
        <v>1531.56</v>
      </c>
    </row>
    <row r="18" spans="1:15" ht="15.75">
      <c r="A18" s="532" t="s">
        <v>51</v>
      </c>
      <c r="B18" s="533">
        <v>6</v>
      </c>
      <c r="C18" s="534">
        <v>40</v>
      </c>
      <c r="D18" s="533">
        <v>27</v>
      </c>
      <c r="E18" s="534">
        <v>99.7</v>
      </c>
      <c r="F18" s="533">
        <v>0</v>
      </c>
      <c r="G18" s="534">
        <v>0</v>
      </c>
      <c r="H18" s="533">
        <v>0</v>
      </c>
      <c r="I18" s="534">
        <v>0</v>
      </c>
      <c r="J18" s="533">
        <v>0</v>
      </c>
      <c r="K18" s="534">
        <v>0</v>
      </c>
      <c r="L18" s="533">
        <v>0</v>
      </c>
      <c r="M18" s="534">
        <v>0</v>
      </c>
      <c r="N18" s="533">
        <f t="shared" si="1"/>
        <v>27</v>
      </c>
      <c r="O18" s="534">
        <f t="shared" si="1"/>
        <v>99.7</v>
      </c>
    </row>
    <row r="19" spans="1:15" ht="15.75">
      <c r="A19" s="532" t="s">
        <v>52</v>
      </c>
      <c r="B19" s="535">
        <v>0</v>
      </c>
      <c r="C19" s="536">
        <v>0</v>
      </c>
      <c r="D19" s="535">
        <v>44</v>
      </c>
      <c r="E19" s="536">
        <v>68.56</v>
      </c>
      <c r="F19" s="535">
        <v>0</v>
      </c>
      <c r="G19" s="536">
        <v>0</v>
      </c>
      <c r="H19" s="535">
        <v>0</v>
      </c>
      <c r="I19" s="536">
        <v>0</v>
      </c>
      <c r="J19" s="535">
        <v>0</v>
      </c>
      <c r="K19" s="536">
        <v>0</v>
      </c>
      <c r="L19" s="535">
        <v>0</v>
      </c>
      <c r="M19" s="536">
        <v>0</v>
      </c>
      <c r="N19" s="535">
        <f t="shared" si="1"/>
        <v>44</v>
      </c>
      <c r="O19" s="536">
        <f t="shared" si="1"/>
        <v>68.56</v>
      </c>
    </row>
    <row r="20" spans="1:15" s="344" customFormat="1">
      <c r="A20" s="499" t="s">
        <v>28</v>
      </c>
      <c r="B20" s="500">
        <v>14</v>
      </c>
      <c r="C20" s="501">
        <f>36.5+64</f>
        <v>100.5</v>
      </c>
      <c r="D20" s="500">
        <f>259+3</f>
        <v>262</v>
      </c>
      <c r="E20" s="501">
        <f>555.22+64</f>
        <v>619.22</v>
      </c>
      <c r="F20" s="500">
        <v>0</v>
      </c>
      <c r="G20" s="501">
        <v>0</v>
      </c>
      <c r="H20" s="500">
        <v>0</v>
      </c>
      <c r="I20" s="501">
        <v>0</v>
      </c>
      <c r="J20" s="500">
        <v>0</v>
      </c>
      <c r="K20" s="501">
        <v>0</v>
      </c>
      <c r="L20" s="500">
        <v>0</v>
      </c>
      <c r="M20" s="501">
        <v>0</v>
      </c>
      <c r="N20" s="500">
        <f t="shared" si="1"/>
        <v>262</v>
      </c>
      <c r="O20" s="501">
        <f>E20+I20+M20</f>
        <v>619.22</v>
      </c>
    </row>
    <row r="21" spans="1:15" s="344" customFormat="1">
      <c r="A21" s="499" t="s">
        <v>10</v>
      </c>
      <c r="B21" s="500">
        <v>0</v>
      </c>
      <c r="C21" s="501">
        <v>0</v>
      </c>
      <c r="D21" s="500">
        <v>3919</v>
      </c>
      <c r="E21" s="501">
        <v>12576</v>
      </c>
      <c r="F21" s="500">
        <v>0</v>
      </c>
      <c r="G21" s="501">
        <v>0</v>
      </c>
      <c r="H21" s="500">
        <v>171</v>
      </c>
      <c r="I21" s="501">
        <v>2651</v>
      </c>
      <c r="J21" s="500">
        <v>0</v>
      </c>
      <c r="K21" s="501">
        <v>0</v>
      </c>
      <c r="L21" s="500">
        <v>7</v>
      </c>
      <c r="M21" s="501">
        <v>19862</v>
      </c>
      <c r="N21" s="500">
        <v>4266</v>
      </c>
      <c r="O21" s="501">
        <f>E21+I21+M21</f>
        <v>35089</v>
      </c>
    </row>
    <row r="22" spans="1:15" ht="15.75">
      <c r="A22" s="532" t="s">
        <v>53</v>
      </c>
      <c r="B22" s="535">
        <v>10</v>
      </c>
      <c r="C22" s="536">
        <f>32.81+4</f>
        <v>36.81</v>
      </c>
      <c r="D22" s="535">
        <f>142+14</f>
        <v>156</v>
      </c>
      <c r="E22" s="536">
        <f>405+27.35</f>
        <v>432.35</v>
      </c>
      <c r="F22" s="535">
        <v>0</v>
      </c>
      <c r="G22" s="536">
        <v>0</v>
      </c>
      <c r="H22" s="535">
        <v>10</v>
      </c>
      <c r="I22" s="536">
        <v>78.540000000000006</v>
      </c>
      <c r="J22" s="535">
        <v>0</v>
      </c>
      <c r="K22" s="536">
        <v>0</v>
      </c>
      <c r="L22" s="535">
        <v>0</v>
      </c>
      <c r="M22" s="536">
        <v>0</v>
      </c>
      <c r="N22" s="535">
        <f t="shared" ref="N22:O22" si="2">D22+H22+L22</f>
        <v>166</v>
      </c>
      <c r="O22" s="536">
        <f t="shared" si="2"/>
        <v>510.89000000000004</v>
      </c>
    </row>
    <row r="23" spans="1:15" s="344" customFormat="1">
      <c r="A23" s="499" t="s">
        <v>35</v>
      </c>
      <c r="B23" s="500">
        <v>19</v>
      </c>
      <c r="C23" s="501">
        <v>22.74</v>
      </c>
      <c r="D23" s="500">
        <v>176</v>
      </c>
      <c r="E23" s="501">
        <v>821.51</v>
      </c>
      <c r="F23" s="500">
        <v>1</v>
      </c>
      <c r="G23" s="501">
        <v>7</v>
      </c>
      <c r="H23" s="500">
        <v>45</v>
      </c>
      <c r="I23" s="501">
        <v>251.83</v>
      </c>
      <c r="J23" s="500">
        <v>0</v>
      </c>
      <c r="K23" s="501">
        <v>0</v>
      </c>
      <c r="L23" s="500">
        <v>0</v>
      </c>
      <c r="M23" s="501">
        <v>0</v>
      </c>
      <c r="N23" s="500">
        <f>D23+H23+L23</f>
        <v>221</v>
      </c>
      <c r="O23" s="501">
        <f>E23+I23+M23</f>
        <v>1073.3399999999999</v>
      </c>
    </row>
    <row r="24" spans="1:15" ht="15.75">
      <c r="A24" s="532" t="s">
        <v>54</v>
      </c>
      <c r="B24" s="535">
        <v>21</v>
      </c>
      <c r="C24" s="536">
        <v>83</v>
      </c>
      <c r="D24" s="535">
        <v>283</v>
      </c>
      <c r="E24" s="536">
        <v>910</v>
      </c>
      <c r="F24" s="535">
        <v>35</v>
      </c>
      <c r="G24" s="536">
        <v>65</v>
      </c>
      <c r="H24" s="535">
        <v>131</v>
      </c>
      <c r="I24" s="536">
        <v>3083</v>
      </c>
      <c r="J24" s="535">
        <v>53</v>
      </c>
      <c r="K24" s="536">
        <v>121</v>
      </c>
      <c r="L24" s="535">
        <v>163</v>
      </c>
      <c r="M24" s="536">
        <v>2085</v>
      </c>
      <c r="N24" s="535">
        <f t="shared" ref="N24:O28" si="3">D24+H24+L24</f>
        <v>577</v>
      </c>
      <c r="O24" s="536">
        <f t="shared" si="3"/>
        <v>6078</v>
      </c>
    </row>
    <row r="25" spans="1:15" ht="15.75">
      <c r="A25" s="532" t="s">
        <v>285</v>
      </c>
      <c r="B25" s="535">
        <v>12</v>
      </c>
      <c r="C25" s="536">
        <v>7.2</v>
      </c>
      <c r="D25" s="535">
        <v>29</v>
      </c>
      <c r="E25" s="536">
        <v>134.9</v>
      </c>
      <c r="F25" s="535">
        <v>7</v>
      </c>
      <c r="G25" s="536">
        <v>28.8</v>
      </c>
      <c r="H25" s="535">
        <v>16</v>
      </c>
      <c r="I25" s="536">
        <v>148.86000000000001</v>
      </c>
      <c r="J25" s="535">
        <v>0</v>
      </c>
      <c r="K25" s="536">
        <v>0</v>
      </c>
      <c r="L25" s="535">
        <v>2</v>
      </c>
      <c r="M25" s="536">
        <v>270</v>
      </c>
      <c r="N25" s="535">
        <f t="shared" si="3"/>
        <v>47</v>
      </c>
      <c r="O25" s="536">
        <f t="shared" si="3"/>
        <v>553.76</v>
      </c>
    </row>
    <row r="26" spans="1:15" ht="15.75">
      <c r="A26" s="532" t="s">
        <v>23</v>
      </c>
      <c r="B26" s="535">
        <v>101</v>
      </c>
      <c r="C26" s="536">
        <v>658.67</v>
      </c>
      <c r="D26" s="537">
        <v>571</v>
      </c>
      <c r="E26" s="538">
        <v>3702</v>
      </c>
      <c r="F26" s="535">
        <v>17</v>
      </c>
      <c r="G26" s="536">
        <v>2166.5</v>
      </c>
      <c r="H26" s="535">
        <v>212</v>
      </c>
      <c r="I26" s="536">
        <v>4039.62</v>
      </c>
      <c r="J26" s="535">
        <v>0</v>
      </c>
      <c r="K26" s="536">
        <v>0</v>
      </c>
      <c r="L26" s="535">
        <v>45</v>
      </c>
      <c r="M26" s="536">
        <v>159.91</v>
      </c>
      <c r="N26" s="535">
        <f t="shared" si="3"/>
        <v>828</v>
      </c>
      <c r="O26" s="536">
        <f>E26+I26+M26</f>
        <v>7901.53</v>
      </c>
    </row>
    <row r="27" spans="1:15" ht="15.75">
      <c r="A27" s="532" t="s">
        <v>106</v>
      </c>
      <c r="B27" s="533">
        <v>0</v>
      </c>
      <c r="C27" s="534">
        <v>0</v>
      </c>
      <c r="D27" s="533">
        <v>0</v>
      </c>
      <c r="E27" s="534">
        <v>0</v>
      </c>
      <c r="F27" s="533">
        <v>0</v>
      </c>
      <c r="G27" s="534">
        <v>0</v>
      </c>
      <c r="H27" s="533">
        <v>0</v>
      </c>
      <c r="I27" s="534">
        <v>0</v>
      </c>
      <c r="J27" s="533">
        <v>0</v>
      </c>
      <c r="K27" s="534">
        <v>0</v>
      </c>
      <c r="L27" s="533">
        <v>0</v>
      </c>
      <c r="M27" s="534">
        <v>0</v>
      </c>
      <c r="N27" s="533">
        <f t="shared" si="3"/>
        <v>0</v>
      </c>
      <c r="O27" s="534">
        <f t="shared" si="3"/>
        <v>0</v>
      </c>
    </row>
    <row r="28" spans="1:15" ht="15.75">
      <c r="A28" s="532" t="s">
        <v>499</v>
      </c>
      <c r="B28" s="535">
        <v>12</v>
      </c>
      <c r="C28" s="536">
        <v>7.2</v>
      </c>
      <c r="D28" s="535">
        <v>12</v>
      </c>
      <c r="E28" s="536">
        <v>6.9</v>
      </c>
      <c r="F28" s="535">
        <v>7</v>
      </c>
      <c r="G28" s="536">
        <v>28.8</v>
      </c>
      <c r="H28" s="535">
        <v>7</v>
      </c>
      <c r="I28" s="536">
        <v>28.36</v>
      </c>
      <c r="J28" s="535">
        <v>0</v>
      </c>
      <c r="K28" s="536">
        <v>0</v>
      </c>
      <c r="L28" s="535">
        <v>2</v>
      </c>
      <c r="M28" s="536">
        <v>270</v>
      </c>
      <c r="N28" s="535">
        <v>34</v>
      </c>
      <c r="O28" s="536">
        <f t="shared" si="3"/>
        <v>305.26</v>
      </c>
    </row>
    <row r="29" spans="1:15" s="344" customFormat="1">
      <c r="A29" s="539" t="s">
        <v>60</v>
      </c>
      <c r="B29" s="540">
        <v>0</v>
      </c>
      <c r="C29" s="541">
        <v>0</v>
      </c>
      <c r="D29" s="540">
        <v>0</v>
      </c>
      <c r="E29" s="541">
        <v>0</v>
      </c>
      <c r="F29" s="540">
        <v>0</v>
      </c>
      <c r="G29" s="541">
        <v>0</v>
      </c>
      <c r="H29" s="540">
        <v>0</v>
      </c>
      <c r="I29" s="541">
        <v>0</v>
      </c>
      <c r="J29" s="540">
        <v>0</v>
      </c>
      <c r="K29" s="541">
        <v>0</v>
      </c>
      <c r="L29" s="540">
        <v>0</v>
      </c>
      <c r="M29" s="541">
        <v>0</v>
      </c>
      <c r="N29" s="540">
        <f t="shared" si="1"/>
        <v>0</v>
      </c>
      <c r="O29" s="541">
        <f t="shared" si="1"/>
        <v>0</v>
      </c>
    </row>
    <row r="30" spans="1:15" s="344" customFormat="1">
      <c r="A30" s="539" t="s">
        <v>59</v>
      </c>
      <c r="B30" s="540">
        <v>0</v>
      </c>
      <c r="C30" s="541">
        <v>0</v>
      </c>
      <c r="D30" s="540">
        <v>0</v>
      </c>
      <c r="E30" s="541">
        <v>0</v>
      </c>
      <c r="F30" s="540">
        <v>0</v>
      </c>
      <c r="G30" s="541">
        <v>0</v>
      </c>
      <c r="H30" s="540">
        <v>0</v>
      </c>
      <c r="I30" s="541">
        <v>0</v>
      </c>
      <c r="J30" s="540">
        <v>0</v>
      </c>
      <c r="K30" s="541">
        <v>0</v>
      </c>
      <c r="L30" s="540">
        <v>0</v>
      </c>
      <c r="M30" s="541">
        <v>0</v>
      </c>
      <c r="N30" s="540">
        <v>0</v>
      </c>
      <c r="O30" s="541">
        <f t="shared" si="1"/>
        <v>0</v>
      </c>
    </row>
    <row r="31" spans="1:15" s="344" customFormat="1">
      <c r="A31" s="817" t="s">
        <v>340</v>
      </c>
      <c r="B31" s="818">
        <f t="shared" ref="B31:O31" si="4">SUM(B7:B30)</f>
        <v>719</v>
      </c>
      <c r="C31" s="819">
        <f t="shared" si="4"/>
        <v>3022.9699999999993</v>
      </c>
      <c r="D31" s="818">
        <f t="shared" si="4"/>
        <v>7842</v>
      </c>
      <c r="E31" s="819">
        <f t="shared" si="4"/>
        <v>26000.13</v>
      </c>
      <c r="F31" s="818">
        <f t="shared" si="4"/>
        <v>255</v>
      </c>
      <c r="G31" s="819">
        <f t="shared" si="4"/>
        <v>4874.87</v>
      </c>
      <c r="H31" s="818">
        <f t="shared" si="4"/>
        <v>1174</v>
      </c>
      <c r="I31" s="819">
        <f t="shared" si="4"/>
        <v>20936.23</v>
      </c>
      <c r="J31" s="818">
        <f t="shared" si="4"/>
        <v>58</v>
      </c>
      <c r="K31" s="819">
        <f t="shared" si="4"/>
        <v>1119.29</v>
      </c>
      <c r="L31" s="818">
        <f t="shared" si="4"/>
        <v>225</v>
      </c>
      <c r="M31" s="819">
        <f t="shared" si="4"/>
        <v>23651.91</v>
      </c>
      <c r="N31" s="818">
        <f t="shared" si="4"/>
        <v>9423</v>
      </c>
      <c r="O31" s="819">
        <f t="shared" si="4"/>
        <v>70588.27</v>
      </c>
    </row>
    <row r="32" spans="1:15" s="344" customFormat="1">
      <c r="A32" s="499" t="s">
        <v>16</v>
      </c>
      <c r="B32" s="500">
        <v>71</v>
      </c>
      <c r="C32" s="501">
        <v>304.43</v>
      </c>
      <c r="D32" s="500">
        <v>1413</v>
      </c>
      <c r="E32" s="501">
        <v>8736.8799999999992</v>
      </c>
      <c r="F32" s="500">
        <v>23</v>
      </c>
      <c r="G32" s="501">
        <v>541.35</v>
      </c>
      <c r="H32" s="500">
        <v>23</v>
      </c>
      <c r="I32" s="501">
        <v>541.35</v>
      </c>
      <c r="J32" s="500">
        <v>0</v>
      </c>
      <c r="K32" s="501">
        <v>0</v>
      </c>
      <c r="L32" s="500">
        <v>0</v>
      </c>
      <c r="M32" s="501">
        <v>0</v>
      </c>
      <c r="N32" s="500">
        <f t="shared" si="1"/>
        <v>1436</v>
      </c>
      <c r="O32" s="501">
        <f t="shared" si="1"/>
        <v>9278.23</v>
      </c>
    </row>
    <row r="33" spans="1:15" s="344" customFormat="1">
      <c r="A33" s="539" t="s">
        <v>12</v>
      </c>
      <c r="B33" s="540">
        <v>0</v>
      </c>
      <c r="C33" s="541">
        <v>0</v>
      </c>
      <c r="D33" s="540">
        <v>0</v>
      </c>
      <c r="E33" s="541">
        <v>0</v>
      </c>
      <c r="F33" s="540">
        <v>0</v>
      </c>
      <c r="G33" s="541">
        <v>0</v>
      </c>
      <c r="H33" s="540">
        <v>57</v>
      </c>
      <c r="I33" s="541">
        <v>333.15</v>
      </c>
      <c r="J33" s="540">
        <v>0</v>
      </c>
      <c r="K33" s="541">
        <v>0</v>
      </c>
      <c r="L33" s="540">
        <v>0</v>
      </c>
      <c r="M33" s="541">
        <v>0</v>
      </c>
      <c r="N33" s="540">
        <f>D33+H33+L33</f>
        <v>57</v>
      </c>
      <c r="O33" s="541">
        <f>E33+I33+M33</f>
        <v>333.15</v>
      </c>
    </row>
    <row r="34" spans="1:15" s="357" customFormat="1">
      <c r="A34" s="926" t="s">
        <v>63</v>
      </c>
      <c r="B34" s="927">
        <f t="shared" ref="B34:M34" si="5">B31+B32+B33</f>
        <v>790</v>
      </c>
      <c r="C34" s="928">
        <f t="shared" si="5"/>
        <v>3327.3999999999992</v>
      </c>
      <c r="D34" s="927">
        <f t="shared" si="5"/>
        <v>9255</v>
      </c>
      <c r="E34" s="928">
        <f t="shared" si="5"/>
        <v>34737.01</v>
      </c>
      <c r="F34" s="927">
        <f t="shared" si="5"/>
        <v>278</v>
      </c>
      <c r="G34" s="928">
        <f t="shared" si="5"/>
        <v>5416.22</v>
      </c>
      <c r="H34" s="927">
        <f t="shared" si="5"/>
        <v>1254</v>
      </c>
      <c r="I34" s="928">
        <f t="shared" si="5"/>
        <v>21810.73</v>
      </c>
      <c r="J34" s="927">
        <f t="shared" si="5"/>
        <v>58</v>
      </c>
      <c r="K34" s="928">
        <f t="shared" si="5"/>
        <v>1119.29</v>
      </c>
      <c r="L34" s="927">
        <f t="shared" si="5"/>
        <v>225</v>
      </c>
      <c r="M34" s="928">
        <f t="shared" si="5"/>
        <v>23651.91</v>
      </c>
      <c r="N34" s="927">
        <f>N31+N32+N33</f>
        <v>10916</v>
      </c>
      <c r="O34" s="928">
        <f>O31+O32+O33</f>
        <v>80199.649999999994</v>
      </c>
    </row>
  </sheetData>
  <mergeCells count="15">
    <mergeCell ref="A1:O1"/>
    <mergeCell ref="A2:M2"/>
    <mergeCell ref="E3:I3"/>
    <mergeCell ref="M3:O3"/>
    <mergeCell ref="A4:A6"/>
    <mergeCell ref="B4:E4"/>
    <mergeCell ref="F4:I4"/>
    <mergeCell ref="J4:M4"/>
    <mergeCell ref="N4:O5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D35"/>
  <sheetViews>
    <sheetView workbookViewId="0">
      <selection activeCell="I11" sqref="I11"/>
    </sheetView>
  </sheetViews>
  <sheetFormatPr defaultRowHeight="15"/>
  <cols>
    <col min="2" max="2" width="8.85546875" bestFit="1" customWidth="1"/>
    <col min="3" max="3" width="17.85546875" bestFit="1" customWidth="1"/>
    <col min="4" max="4" width="45" bestFit="1" customWidth="1"/>
  </cols>
  <sheetData>
    <row r="1" spans="2:4" ht="18">
      <c r="B1" s="1430">
        <v>3</v>
      </c>
      <c r="C1" s="1430"/>
      <c r="D1" s="1430"/>
    </row>
    <row r="2" spans="2:4" ht="19.5">
      <c r="B2" s="1431" t="s">
        <v>638</v>
      </c>
      <c r="C2" s="1431"/>
      <c r="D2" s="1431"/>
    </row>
    <row r="3" spans="2:4">
      <c r="B3" s="98" t="s">
        <v>4</v>
      </c>
      <c r="C3" s="98" t="s">
        <v>76</v>
      </c>
      <c r="D3" s="98" t="s">
        <v>77</v>
      </c>
    </row>
    <row r="4" spans="2:4">
      <c r="B4" s="99">
        <v>1</v>
      </c>
      <c r="C4" s="100" t="s">
        <v>78</v>
      </c>
      <c r="D4" s="101" t="s">
        <v>79</v>
      </c>
    </row>
    <row r="5" spans="2:4">
      <c r="B5" s="102">
        <v>2</v>
      </c>
      <c r="C5" s="103" t="s">
        <v>27</v>
      </c>
      <c r="D5" s="104" t="s">
        <v>80</v>
      </c>
    </row>
    <row r="6" spans="2:4">
      <c r="B6" s="102">
        <v>3</v>
      </c>
      <c r="C6" s="103" t="s">
        <v>46</v>
      </c>
      <c r="D6" s="104" t="s">
        <v>81</v>
      </c>
    </row>
    <row r="7" spans="2:4">
      <c r="B7" s="105">
        <v>4</v>
      </c>
      <c r="C7" s="103" t="s">
        <v>32</v>
      </c>
      <c r="D7" s="104" t="s">
        <v>82</v>
      </c>
    </row>
    <row r="8" spans="2:4">
      <c r="B8" s="102">
        <v>5</v>
      </c>
      <c r="C8" s="103" t="s">
        <v>83</v>
      </c>
      <c r="D8" s="106" t="s">
        <v>84</v>
      </c>
    </row>
    <row r="9" spans="2:4">
      <c r="B9" s="102">
        <v>6</v>
      </c>
      <c r="C9" s="103" t="s">
        <v>85</v>
      </c>
      <c r="D9" s="104" t="s">
        <v>86</v>
      </c>
    </row>
    <row r="10" spans="2:4">
      <c r="B10" s="102">
        <v>7</v>
      </c>
      <c r="C10" s="103" t="s">
        <v>17</v>
      </c>
      <c r="D10" s="104" t="s">
        <v>87</v>
      </c>
    </row>
    <row r="11" spans="2:4">
      <c r="B11" s="102">
        <v>8</v>
      </c>
      <c r="C11" s="103" t="s">
        <v>26</v>
      </c>
      <c r="D11" s="104" t="s">
        <v>88</v>
      </c>
    </row>
    <row r="12" spans="2:4">
      <c r="B12" s="102">
        <v>9</v>
      </c>
      <c r="C12" s="103" t="s">
        <v>11</v>
      </c>
      <c r="D12" s="104" t="s">
        <v>89</v>
      </c>
    </row>
    <row r="13" spans="2:4">
      <c r="B13" s="102">
        <v>10</v>
      </c>
      <c r="C13" s="103" t="s">
        <v>90</v>
      </c>
      <c r="D13" s="104" t="s">
        <v>91</v>
      </c>
    </row>
    <row r="14" spans="2:4">
      <c r="B14" s="102">
        <v>11</v>
      </c>
      <c r="C14" s="103" t="s">
        <v>92</v>
      </c>
      <c r="D14" s="104" t="s">
        <v>93</v>
      </c>
    </row>
    <row r="15" spans="2:4">
      <c r="B15" s="102">
        <v>12</v>
      </c>
      <c r="C15" s="103" t="s">
        <v>51</v>
      </c>
      <c r="D15" s="104" t="s">
        <v>94</v>
      </c>
    </row>
    <row r="16" spans="2:4">
      <c r="B16" s="102">
        <v>13</v>
      </c>
      <c r="C16" s="103" t="s">
        <v>52</v>
      </c>
      <c r="D16" s="104" t="s">
        <v>95</v>
      </c>
    </row>
    <row r="17" spans="2:4">
      <c r="B17" s="102">
        <v>14</v>
      </c>
      <c r="C17" s="103" t="s">
        <v>28</v>
      </c>
      <c r="D17" s="104" t="s">
        <v>96</v>
      </c>
    </row>
    <row r="18" spans="2:4">
      <c r="B18" s="102">
        <v>15</v>
      </c>
      <c r="C18" s="103" t="s">
        <v>10</v>
      </c>
      <c r="D18" s="104" t="s">
        <v>97</v>
      </c>
    </row>
    <row r="19" spans="2:4">
      <c r="B19" s="102">
        <v>16</v>
      </c>
      <c r="C19" s="103" t="s">
        <v>98</v>
      </c>
      <c r="D19" s="104" t="s">
        <v>99</v>
      </c>
    </row>
    <row r="20" spans="2:4">
      <c r="B20" s="102">
        <v>17</v>
      </c>
      <c r="C20" s="103" t="s">
        <v>35</v>
      </c>
      <c r="D20" s="104" t="s">
        <v>100</v>
      </c>
    </row>
    <row r="21" spans="2:4">
      <c r="B21" s="102">
        <v>18</v>
      </c>
      <c r="C21" s="103" t="s">
        <v>54</v>
      </c>
      <c r="D21" s="104" t="s">
        <v>101</v>
      </c>
    </row>
    <row r="22" spans="2:4">
      <c r="B22" s="102">
        <v>19</v>
      </c>
      <c r="C22" s="103" t="s">
        <v>102</v>
      </c>
      <c r="D22" s="104" t="s">
        <v>103</v>
      </c>
    </row>
    <row r="23" spans="2:4">
      <c r="B23" s="102">
        <v>20</v>
      </c>
      <c r="C23" s="103" t="s">
        <v>104</v>
      </c>
      <c r="D23" s="104" t="s">
        <v>105</v>
      </c>
    </row>
    <row r="24" spans="2:4">
      <c r="B24" s="102">
        <v>21</v>
      </c>
      <c r="C24" s="103" t="s">
        <v>106</v>
      </c>
      <c r="D24" s="107" t="s">
        <v>107</v>
      </c>
    </row>
    <row r="25" spans="2:4">
      <c r="B25" s="102">
        <v>22</v>
      </c>
      <c r="C25" s="103" t="s">
        <v>108</v>
      </c>
      <c r="D25" s="107" t="s">
        <v>109</v>
      </c>
    </row>
    <row r="26" spans="2:4">
      <c r="B26" s="105">
        <v>23</v>
      </c>
      <c r="C26" s="108" t="s">
        <v>110</v>
      </c>
      <c r="D26" s="104" t="s">
        <v>111</v>
      </c>
    </row>
    <row r="27" spans="2:4">
      <c r="B27" s="105">
        <v>24</v>
      </c>
      <c r="C27" s="108" t="s">
        <v>16</v>
      </c>
      <c r="D27" s="104" t="s">
        <v>112</v>
      </c>
    </row>
    <row r="28" spans="2:4">
      <c r="B28" s="105">
        <v>25</v>
      </c>
      <c r="C28" s="108" t="s">
        <v>113</v>
      </c>
      <c r="D28" s="104" t="s">
        <v>114</v>
      </c>
    </row>
    <row r="29" spans="2:4">
      <c r="B29" s="105">
        <v>26</v>
      </c>
      <c r="C29" s="108" t="s">
        <v>115</v>
      </c>
      <c r="D29" s="109" t="s">
        <v>116</v>
      </c>
    </row>
    <row r="30" spans="2:4">
      <c r="B30" s="105">
        <v>27</v>
      </c>
      <c r="C30" s="108" t="s">
        <v>117</v>
      </c>
      <c r="D30" s="109" t="s">
        <v>118</v>
      </c>
    </row>
    <row r="31" spans="2:4">
      <c r="B31" s="105">
        <v>28</v>
      </c>
      <c r="C31" s="110" t="s">
        <v>119</v>
      </c>
      <c r="D31" s="106" t="s">
        <v>120</v>
      </c>
    </row>
    <row r="32" spans="2:4">
      <c r="B32" s="105">
        <v>29</v>
      </c>
      <c r="C32" s="110" t="s">
        <v>121</v>
      </c>
      <c r="D32" s="106" t="s">
        <v>122</v>
      </c>
    </row>
    <row r="33" spans="2:4">
      <c r="B33" s="105">
        <v>30</v>
      </c>
      <c r="C33" s="110" t="s">
        <v>123</v>
      </c>
      <c r="D33" s="106" t="s">
        <v>124</v>
      </c>
    </row>
    <row r="34" spans="2:4">
      <c r="B34" s="105">
        <v>31</v>
      </c>
      <c r="C34" s="110" t="s">
        <v>125</v>
      </c>
      <c r="D34" s="106" t="s">
        <v>126</v>
      </c>
    </row>
    <row r="35" spans="2:4">
      <c r="B35" s="105">
        <v>32</v>
      </c>
      <c r="C35" s="110" t="s">
        <v>127</v>
      </c>
      <c r="D35" s="106" t="s">
        <v>128</v>
      </c>
    </row>
  </sheetData>
  <mergeCells count="2">
    <mergeCell ref="B1:D1"/>
    <mergeCell ref="B2:D2"/>
  </mergeCells>
  <printOptions gridLines="1"/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sqref="A1:R1"/>
    </sheetView>
  </sheetViews>
  <sheetFormatPr defaultRowHeight="15"/>
  <sheetData>
    <row r="1" spans="1:18">
      <c r="A1" s="1532">
        <v>71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  <c r="P1" s="1532"/>
      <c r="Q1" s="1532"/>
      <c r="R1" s="1532"/>
    </row>
    <row r="2" spans="1:18" ht="20.25">
      <c r="A2" s="1550" t="s">
        <v>326</v>
      </c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</row>
    <row r="3" spans="1:18" ht="15.75">
      <c r="G3" s="1551" t="s">
        <v>563</v>
      </c>
      <c r="H3" s="1551"/>
      <c r="I3" s="1551"/>
      <c r="J3" s="1551"/>
      <c r="K3" s="1551"/>
      <c r="L3" s="1551"/>
      <c r="M3" s="262"/>
      <c r="N3" s="262"/>
    </row>
    <row r="4" spans="1:18" ht="15.75">
      <c r="G4" s="263"/>
      <c r="H4" s="263"/>
      <c r="I4" s="263"/>
      <c r="J4" s="263"/>
      <c r="K4" s="263"/>
      <c r="L4" s="263"/>
      <c r="M4" s="262"/>
      <c r="N4" s="262"/>
      <c r="O4" s="1552" t="s">
        <v>327</v>
      </c>
      <c r="P4" s="1552"/>
      <c r="Q4" s="1552"/>
      <c r="R4" s="1552"/>
    </row>
    <row r="5" spans="1:18">
      <c r="A5" s="1553" t="s">
        <v>130</v>
      </c>
      <c r="B5" s="1554" t="s">
        <v>131</v>
      </c>
      <c r="C5" s="1555" t="s">
        <v>328</v>
      </c>
      <c r="D5" s="1555"/>
      <c r="E5" s="1555"/>
      <c r="F5" s="1555"/>
      <c r="G5" s="1555"/>
      <c r="H5" s="1555"/>
      <c r="I5" s="1555"/>
      <c r="J5" s="1555"/>
      <c r="K5" s="1541" t="s">
        <v>329</v>
      </c>
      <c r="L5" s="1541"/>
      <c r="M5" s="1541"/>
      <c r="N5" s="1541"/>
      <c r="O5" s="1541"/>
      <c r="P5" s="1541"/>
      <c r="Q5" s="1541"/>
      <c r="R5" s="1541"/>
    </row>
    <row r="6" spans="1:18">
      <c r="A6" s="1553"/>
      <c r="B6" s="1554"/>
      <c r="C6" s="1548" t="s">
        <v>330</v>
      </c>
      <c r="D6" s="1549"/>
      <c r="E6" s="1548" t="s">
        <v>331</v>
      </c>
      <c r="F6" s="1549"/>
      <c r="G6" s="1548" t="s">
        <v>332</v>
      </c>
      <c r="H6" s="1549"/>
      <c r="I6" s="1548" t="s">
        <v>63</v>
      </c>
      <c r="J6" s="1549"/>
      <c r="K6" s="1548" t="s">
        <v>330</v>
      </c>
      <c r="L6" s="1549"/>
      <c r="M6" s="1548" t="s">
        <v>331</v>
      </c>
      <c r="N6" s="1549"/>
      <c r="O6" s="1548" t="s">
        <v>332</v>
      </c>
      <c r="P6" s="1549"/>
      <c r="Q6" s="1548" t="s">
        <v>63</v>
      </c>
      <c r="R6" s="1549"/>
    </row>
    <row r="7" spans="1:18">
      <c r="A7" s="1553"/>
      <c r="B7" s="1554"/>
      <c r="C7" s="264" t="s">
        <v>282</v>
      </c>
      <c r="D7" s="264" t="s">
        <v>283</v>
      </c>
      <c r="E7" s="264" t="s">
        <v>282</v>
      </c>
      <c r="F7" s="264" t="s">
        <v>283</v>
      </c>
      <c r="G7" s="264" t="s">
        <v>282</v>
      </c>
      <c r="H7" s="264" t="s">
        <v>283</v>
      </c>
      <c r="I7" s="264" t="s">
        <v>282</v>
      </c>
      <c r="J7" s="264" t="s">
        <v>283</v>
      </c>
      <c r="K7" s="264" t="s">
        <v>282</v>
      </c>
      <c r="L7" s="264" t="s">
        <v>283</v>
      </c>
      <c r="M7" s="264" t="s">
        <v>282</v>
      </c>
      <c r="N7" s="264" t="s">
        <v>283</v>
      </c>
      <c r="O7" s="264" t="s">
        <v>282</v>
      </c>
      <c r="P7" s="264" t="s">
        <v>283</v>
      </c>
      <c r="Q7" s="264" t="s">
        <v>282</v>
      </c>
      <c r="R7" s="264" t="s">
        <v>283</v>
      </c>
    </row>
    <row r="8" spans="1:18">
      <c r="A8" s="524">
        <v>1</v>
      </c>
      <c r="B8" s="524" t="s">
        <v>78</v>
      </c>
      <c r="C8" s="524">
        <v>0</v>
      </c>
      <c r="D8" s="525">
        <v>0</v>
      </c>
      <c r="E8" s="524">
        <v>0</v>
      </c>
      <c r="F8" s="525">
        <v>0</v>
      </c>
      <c r="G8" s="524">
        <v>0</v>
      </c>
      <c r="H8" s="525">
        <v>0</v>
      </c>
      <c r="I8" s="524">
        <f t="shared" ref="I8:J8" si="0">C8+E8+G8</f>
        <v>0</v>
      </c>
      <c r="J8" s="526">
        <f t="shared" si="0"/>
        <v>0</v>
      </c>
      <c r="K8" s="524">
        <v>0</v>
      </c>
      <c r="L8" s="525">
        <v>0</v>
      </c>
      <c r="M8" s="524">
        <v>7</v>
      </c>
      <c r="N8" s="525">
        <v>221.36</v>
      </c>
      <c r="O8" s="524">
        <v>0</v>
      </c>
      <c r="P8" s="525">
        <v>0</v>
      </c>
      <c r="Q8" s="524">
        <f t="shared" ref="Q8:R8" si="1">K8+M8+O8</f>
        <v>7</v>
      </c>
      <c r="R8" s="526">
        <f t="shared" si="1"/>
        <v>221.36</v>
      </c>
    </row>
    <row r="9" spans="1:18" s="344" customFormat="1">
      <c r="A9" s="168">
        <v>2</v>
      </c>
      <c r="B9" s="168" t="s">
        <v>27</v>
      </c>
      <c r="C9" s="168">
        <v>0</v>
      </c>
      <c r="D9" s="170">
        <v>0</v>
      </c>
      <c r="E9" s="168">
        <v>0</v>
      </c>
      <c r="F9" s="170">
        <v>0</v>
      </c>
      <c r="G9" s="168">
        <v>0</v>
      </c>
      <c r="H9" s="170">
        <v>0</v>
      </c>
      <c r="I9" s="168">
        <f t="shared" ref="I9:J34" si="2">C9+E9+G9</f>
        <v>0</v>
      </c>
      <c r="J9" s="496">
        <f t="shared" si="2"/>
        <v>0</v>
      </c>
      <c r="K9" s="168">
        <v>0</v>
      </c>
      <c r="L9" s="170">
        <v>0</v>
      </c>
      <c r="M9" s="168">
        <v>1</v>
      </c>
      <c r="N9" s="170">
        <v>2.88</v>
      </c>
      <c r="O9" s="168">
        <v>0</v>
      </c>
      <c r="P9" s="170">
        <v>0</v>
      </c>
      <c r="Q9" s="168">
        <f t="shared" ref="Q9:R34" si="3">K9+M9+O9</f>
        <v>1</v>
      </c>
      <c r="R9" s="496">
        <f t="shared" si="3"/>
        <v>2.88</v>
      </c>
    </row>
    <row r="10" spans="1:18">
      <c r="A10" s="524">
        <v>3</v>
      </c>
      <c r="B10" s="524" t="s">
        <v>46</v>
      </c>
      <c r="C10" s="524">
        <v>0</v>
      </c>
      <c r="D10" s="525">
        <v>0</v>
      </c>
      <c r="E10" s="524">
        <v>0</v>
      </c>
      <c r="F10" s="525">
        <v>0</v>
      </c>
      <c r="G10" s="524">
        <v>0</v>
      </c>
      <c r="H10" s="525">
        <v>0</v>
      </c>
      <c r="I10" s="524">
        <f t="shared" si="2"/>
        <v>0</v>
      </c>
      <c r="J10" s="526">
        <f t="shared" si="2"/>
        <v>0</v>
      </c>
      <c r="K10" s="524">
        <v>0</v>
      </c>
      <c r="L10" s="525">
        <v>0</v>
      </c>
      <c r="M10" s="524">
        <v>7</v>
      </c>
      <c r="N10" s="525">
        <v>94.37</v>
      </c>
      <c r="O10" s="524">
        <v>0</v>
      </c>
      <c r="P10" s="525">
        <v>0</v>
      </c>
      <c r="Q10" s="524">
        <f t="shared" si="3"/>
        <v>7</v>
      </c>
      <c r="R10" s="526">
        <f t="shared" si="3"/>
        <v>94.37</v>
      </c>
    </row>
    <row r="11" spans="1:18" s="344" customFormat="1">
      <c r="A11" s="164">
        <v>4</v>
      </c>
      <c r="B11" s="164" t="s">
        <v>32</v>
      </c>
      <c r="C11" s="164">
        <v>0</v>
      </c>
      <c r="D11" s="166">
        <v>0</v>
      </c>
      <c r="E11" s="164">
        <v>0</v>
      </c>
      <c r="F11" s="166">
        <v>0</v>
      </c>
      <c r="G11" s="164">
        <v>0</v>
      </c>
      <c r="H11" s="166">
        <v>0</v>
      </c>
      <c r="I11" s="164">
        <f t="shared" si="2"/>
        <v>0</v>
      </c>
      <c r="J11" s="551">
        <f t="shared" si="2"/>
        <v>0</v>
      </c>
      <c r="K11" s="164">
        <v>0</v>
      </c>
      <c r="L11" s="166">
        <v>0</v>
      </c>
      <c r="M11" s="164">
        <v>1</v>
      </c>
      <c r="N11" s="166">
        <v>24.58</v>
      </c>
      <c r="O11" s="164">
        <v>1</v>
      </c>
      <c r="P11" s="166">
        <v>18</v>
      </c>
      <c r="Q11" s="164">
        <f t="shared" si="3"/>
        <v>2</v>
      </c>
      <c r="R11" s="551">
        <f t="shared" si="3"/>
        <v>42.58</v>
      </c>
    </row>
    <row r="12" spans="1:18">
      <c r="A12" s="524">
        <v>5</v>
      </c>
      <c r="B12" s="524" t="s">
        <v>83</v>
      </c>
      <c r="C12" s="524">
        <v>0</v>
      </c>
      <c r="D12" s="525">
        <v>0</v>
      </c>
      <c r="E12" s="524">
        <v>0</v>
      </c>
      <c r="F12" s="525">
        <v>0</v>
      </c>
      <c r="G12" s="524">
        <v>0</v>
      </c>
      <c r="H12" s="525">
        <v>0</v>
      </c>
      <c r="I12" s="524">
        <f t="shared" si="2"/>
        <v>0</v>
      </c>
      <c r="J12" s="526">
        <f t="shared" si="2"/>
        <v>0</v>
      </c>
      <c r="K12" s="524">
        <v>0</v>
      </c>
      <c r="L12" s="525">
        <v>0</v>
      </c>
      <c r="M12" s="524">
        <v>17</v>
      </c>
      <c r="N12" s="525">
        <v>434.98</v>
      </c>
      <c r="O12" s="524">
        <v>0</v>
      </c>
      <c r="P12" s="525">
        <v>0</v>
      </c>
      <c r="Q12" s="524">
        <f t="shared" si="3"/>
        <v>17</v>
      </c>
      <c r="R12" s="526">
        <f t="shared" si="3"/>
        <v>434.98</v>
      </c>
    </row>
    <row r="13" spans="1:18" s="344" customFormat="1">
      <c r="A13" s="168">
        <v>6</v>
      </c>
      <c r="B13" s="168" t="s">
        <v>85</v>
      </c>
      <c r="C13" s="168">
        <v>0</v>
      </c>
      <c r="D13" s="170">
        <v>0</v>
      </c>
      <c r="E13" s="168">
        <v>3</v>
      </c>
      <c r="F13" s="170">
        <v>38</v>
      </c>
      <c r="G13" s="168">
        <v>2</v>
      </c>
      <c r="H13" s="170">
        <v>35</v>
      </c>
      <c r="I13" s="168">
        <f t="shared" si="2"/>
        <v>5</v>
      </c>
      <c r="J13" s="496">
        <f t="shared" si="2"/>
        <v>73</v>
      </c>
      <c r="K13" s="168">
        <v>0</v>
      </c>
      <c r="L13" s="170">
        <v>0</v>
      </c>
      <c r="M13" s="168">
        <v>11</v>
      </c>
      <c r="N13" s="170">
        <v>139</v>
      </c>
      <c r="O13" s="168">
        <v>2</v>
      </c>
      <c r="P13" s="170">
        <v>35</v>
      </c>
      <c r="Q13" s="168">
        <f t="shared" si="3"/>
        <v>13</v>
      </c>
      <c r="R13" s="496">
        <f t="shared" si="3"/>
        <v>174</v>
      </c>
    </row>
    <row r="14" spans="1:18" s="344" customFormat="1">
      <c r="A14" s="168">
        <v>7</v>
      </c>
      <c r="B14" s="168" t="s">
        <v>17</v>
      </c>
      <c r="C14" s="168">
        <v>0</v>
      </c>
      <c r="D14" s="170">
        <v>0</v>
      </c>
      <c r="E14" s="168">
        <v>2</v>
      </c>
      <c r="F14" s="170">
        <v>20</v>
      </c>
      <c r="G14" s="168">
        <v>0</v>
      </c>
      <c r="H14" s="170">
        <v>0</v>
      </c>
      <c r="I14" s="168">
        <f t="shared" si="2"/>
        <v>2</v>
      </c>
      <c r="J14" s="496">
        <f t="shared" si="2"/>
        <v>20</v>
      </c>
      <c r="K14" s="168">
        <v>0</v>
      </c>
      <c r="L14" s="170">
        <v>0</v>
      </c>
      <c r="M14" s="168">
        <v>0</v>
      </c>
      <c r="N14" s="170">
        <v>0</v>
      </c>
      <c r="O14" s="168">
        <v>15</v>
      </c>
      <c r="P14" s="170">
        <v>120</v>
      </c>
      <c r="Q14" s="168">
        <f t="shared" si="3"/>
        <v>15</v>
      </c>
      <c r="R14" s="496">
        <f t="shared" si="3"/>
        <v>120</v>
      </c>
    </row>
    <row r="15" spans="1:18" s="344" customFormat="1">
      <c r="A15" s="168">
        <v>8</v>
      </c>
      <c r="B15" s="168" t="s">
        <v>26</v>
      </c>
      <c r="C15" s="168">
        <v>0</v>
      </c>
      <c r="D15" s="170">
        <v>0</v>
      </c>
      <c r="E15" s="168">
        <v>0</v>
      </c>
      <c r="F15" s="170">
        <v>0</v>
      </c>
      <c r="G15" s="168">
        <v>0</v>
      </c>
      <c r="H15" s="170">
        <v>0</v>
      </c>
      <c r="I15" s="168">
        <v>0</v>
      </c>
      <c r="J15" s="496">
        <f t="shared" si="2"/>
        <v>0</v>
      </c>
      <c r="K15" s="168">
        <v>0</v>
      </c>
      <c r="L15" s="170">
        <v>0</v>
      </c>
      <c r="M15" s="168">
        <v>0</v>
      </c>
      <c r="N15" s="170">
        <v>0</v>
      </c>
      <c r="O15" s="168">
        <v>0</v>
      </c>
      <c r="P15" s="170">
        <v>0</v>
      </c>
      <c r="Q15" s="168">
        <f t="shared" si="3"/>
        <v>0</v>
      </c>
      <c r="R15" s="496">
        <f t="shared" si="3"/>
        <v>0</v>
      </c>
    </row>
    <row r="16" spans="1:18" s="344" customFormat="1">
      <c r="A16" s="168">
        <v>9</v>
      </c>
      <c r="B16" s="168" t="s">
        <v>11</v>
      </c>
      <c r="C16" s="168">
        <v>0</v>
      </c>
      <c r="D16" s="170">
        <v>0</v>
      </c>
      <c r="E16" s="168">
        <v>0</v>
      </c>
      <c r="F16" s="170">
        <v>0</v>
      </c>
      <c r="G16" s="168">
        <v>0</v>
      </c>
      <c r="H16" s="170">
        <v>0</v>
      </c>
      <c r="I16" s="168">
        <f t="shared" si="2"/>
        <v>0</v>
      </c>
      <c r="J16" s="496">
        <f t="shared" si="2"/>
        <v>0</v>
      </c>
      <c r="K16" s="168">
        <v>0</v>
      </c>
      <c r="L16" s="170">
        <v>0</v>
      </c>
      <c r="M16" s="168">
        <v>0</v>
      </c>
      <c r="N16" s="170">
        <v>0</v>
      </c>
      <c r="O16" s="168">
        <v>0</v>
      </c>
      <c r="P16" s="170">
        <v>0</v>
      </c>
      <c r="Q16" s="168">
        <f t="shared" si="3"/>
        <v>0</v>
      </c>
      <c r="R16" s="496">
        <f t="shared" si="3"/>
        <v>0</v>
      </c>
    </row>
    <row r="17" spans="1:18">
      <c r="A17" s="524">
        <v>10</v>
      </c>
      <c r="B17" s="524" t="s">
        <v>90</v>
      </c>
      <c r="C17" s="524">
        <v>0</v>
      </c>
      <c r="D17" s="525">
        <v>0</v>
      </c>
      <c r="E17" s="524">
        <v>1</v>
      </c>
      <c r="F17" s="525">
        <v>18.3</v>
      </c>
      <c r="G17" s="524">
        <v>0</v>
      </c>
      <c r="H17" s="525">
        <v>0</v>
      </c>
      <c r="I17" s="524">
        <f t="shared" si="2"/>
        <v>1</v>
      </c>
      <c r="J17" s="526">
        <f t="shared" si="2"/>
        <v>18.3</v>
      </c>
      <c r="K17" s="524">
        <v>0</v>
      </c>
      <c r="L17" s="525">
        <v>0</v>
      </c>
      <c r="M17" s="524">
        <v>0</v>
      </c>
      <c r="N17" s="525">
        <v>0</v>
      </c>
      <c r="O17" s="524">
        <v>0</v>
      </c>
      <c r="P17" s="525">
        <v>0</v>
      </c>
      <c r="Q17" s="524">
        <f t="shared" si="3"/>
        <v>0</v>
      </c>
      <c r="R17" s="526">
        <f t="shared" si="3"/>
        <v>0</v>
      </c>
    </row>
    <row r="18" spans="1:18">
      <c r="A18" s="524">
        <v>11</v>
      </c>
      <c r="B18" s="524" t="s">
        <v>92</v>
      </c>
      <c r="C18" s="527">
        <v>0</v>
      </c>
      <c r="D18" s="528">
        <v>0</v>
      </c>
      <c r="E18" s="527">
        <v>0</v>
      </c>
      <c r="F18" s="528">
        <v>0</v>
      </c>
      <c r="G18" s="527">
        <v>0</v>
      </c>
      <c r="H18" s="528">
        <v>0</v>
      </c>
      <c r="I18" s="527">
        <f t="shared" si="2"/>
        <v>0</v>
      </c>
      <c r="J18" s="529">
        <f t="shared" si="2"/>
        <v>0</v>
      </c>
      <c r="K18" s="527">
        <v>0</v>
      </c>
      <c r="L18" s="528">
        <v>0</v>
      </c>
      <c r="M18" s="527">
        <v>22</v>
      </c>
      <c r="N18" s="528">
        <f>423.44+58</f>
        <v>481.44</v>
      </c>
      <c r="O18" s="527">
        <v>0</v>
      </c>
      <c r="P18" s="528">
        <v>0</v>
      </c>
      <c r="Q18" s="527">
        <f t="shared" si="3"/>
        <v>22</v>
      </c>
      <c r="R18" s="529">
        <f t="shared" si="3"/>
        <v>481.44</v>
      </c>
    </row>
    <row r="19" spans="1:18">
      <c r="A19" s="524">
        <v>12</v>
      </c>
      <c r="B19" s="524" t="s">
        <v>51</v>
      </c>
      <c r="C19" s="524">
        <v>0</v>
      </c>
      <c r="D19" s="525">
        <v>0</v>
      </c>
      <c r="E19" s="524">
        <v>1</v>
      </c>
      <c r="F19" s="525">
        <v>30</v>
      </c>
      <c r="G19" s="524">
        <v>0</v>
      </c>
      <c r="H19" s="525">
        <v>0</v>
      </c>
      <c r="I19" s="524">
        <v>1</v>
      </c>
      <c r="J19" s="526">
        <v>19.55</v>
      </c>
      <c r="K19" s="524">
        <v>0</v>
      </c>
      <c r="L19" s="525">
        <v>0</v>
      </c>
      <c r="M19" s="524">
        <v>2</v>
      </c>
      <c r="N19" s="525">
        <v>50.81</v>
      </c>
      <c r="O19" s="524">
        <v>0</v>
      </c>
      <c r="P19" s="525">
        <v>0</v>
      </c>
      <c r="Q19" s="524">
        <f t="shared" si="3"/>
        <v>2</v>
      </c>
      <c r="R19" s="526">
        <f t="shared" si="3"/>
        <v>50.81</v>
      </c>
    </row>
    <row r="20" spans="1:18">
      <c r="A20" s="524">
        <v>13</v>
      </c>
      <c r="B20" s="524" t="s">
        <v>52</v>
      </c>
      <c r="C20" s="527">
        <v>0</v>
      </c>
      <c r="D20" s="528">
        <v>0</v>
      </c>
      <c r="E20" s="527">
        <v>0</v>
      </c>
      <c r="F20" s="528">
        <v>0</v>
      </c>
      <c r="G20" s="527">
        <v>0</v>
      </c>
      <c r="H20" s="528">
        <v>0</v>
      </c>
      <c r="I20" s="527">
        <f t="shared" si="2"/>
        <v>0</v>
      </c>
      <c r="J20" s="529">
        <f t="shared" si="2"/>
        <v>0</v>
      </c>
      <c r="K20" s="527">
        <v>0</v>
      </c>
      <c r="L20" s="528">
        <v>0</v>
      </c>
      <c r="M20" s="527">
        <v>0</v>
      </c>
      <c r="N20" s="528">
        <v>0</v>
      </c>
      <c r="O20" s="527">
        <v>0</v>
      </c>
      <c r="P20" s="528">
        <v>0</v>
      </c>
      <c r="Q20" s="527">
        <f t="shared" si="3"/>
        <v>0</v>
      </c>
      <c r="R20" s="529">
        <f t="shared" si="3"/>
        <v>0</v>
      </c>
    </row>
    <row r="21" spans="1:18" s="344" customFormat="1">
      <c r="A21" s="164">
        <v>14</v>
      </c>
      <c r="B21" s="164" t="s">
        <v>28</v>
      </c>
      <c r="C21" s="164">
        <v>0</v>
      </c>
      <c r="D21" s="166">
        <v>0</v>
      </c>
      <c r="E21" s="164">
        <v>0</v>
      </c>
      <c r="F21" s="166">
        <v>0</v>
      </c>
      <c r="G21" s="164">
        <v>0</v>
      </c>
      <c r="H21" s="166">
        <v>0</v>
      </c>
      <c r="I21" s="164">
        <f t="shared" si="2"/>
        <v>0</v>
      </c>
      <c r="J21" s="551">
        <f t="shared" si="2"/>
        <v>0</v>
      </c>
      <c r="K21" s="164">
        <v>0</v>
      </c>
      <c r="L21" s="166">
        <v>0</v>
      </c>
      <c r="M21" s="164">
        <v>0</v>
      </c>
      <c r="N21" s="166">
        <v>0</v>
      </c>
      <c r="O21" s="164">
        <v>0</v>
      </c>
      <c r="P21" s="166">
        <v>0</v>
      </c>
      <c r="Q21" s="164">
        <f t="shared" si="3"/>
        <v>0</v>
      </c>
      <c r="R21" s="551">
        <f t="shared" si="3"/>
        <v>0</v>
      </c>
    </row>
    <row r="22" spans="1:18" s="344" customFormat="1">
      <c r="A22" s="164">
        <v>15</v>
      </c>
      <c r="B22" s="164" t="s">
        <v>10</v>
      </c>
      <c r="C22" s="164">
        <v>0</v>
      </c>
      <c r="D22" s="166">
        <v>0</v>
      </c>
      <c r="E22" s="164">
        <v>0</v>
      </c>
      <c r="F22" s="166">
        <v>0</v>
      </c>
      <c r="G22" s="164">
        <v>0</v>
      </c>
      <c r="H22" s="166">
        <v>0</v>
      </c>
      <c r="I22" s="164">
        <f t="shared" si="2"/>
        <v>0</v>
      </c>
      <c r="J22" s="551">
        <f t="shared" si="2"/>
        <v>0</v>
      </c>
      <c r="K22" s="164">
        <v>0</v>
      </c>
      <c r="L22" s="166">
        <v>0</v>
      </c>
      <c r="M22" s="164">
        <v>684</v>
      </c>
      <c r="N22" s="166">
        <v>10667</v>
      </c>
      <c r="O22" s="164">
        <v>332</v>
      </c>
      <c r="P22" s="166">
        <v>4703</v>
      </c>
      <c r="Q22" s="164">
        <f>K22+M22+O22</f>
        <v>1016</v>
      </c>
      <c r="R22" s="551">
        <f t="shared" si="3"/>
        <v>15370</v>
      </c>
    </row>
    <row r="23" spans="1:18">
      <c r="A23" s="524">
        <v>16</v>
      </c>
      <c r="B23" s="524" t="s">
        <v>98</v>
      </c>
      <c r="C23" s="527">
        <v>0</v>
      </c>
      <c r="D23" s="528">
        <v>0</v>
      </c>
      <c r="E23" s="527">
        <v>0</v>
      </c>
      <c r="F23" s="528">
        <v>0</v>
      </c>
      <c r="G23" s="527">
        <v>0</v>
      </c>
      <c r="H23" s="528">
        <v>0</v>
      </c>
      <c r="I23" s="527">
        <f t="shared" si="2"/>
        <v>0</v>
      </c>
      <c r="J23" s="529">
        <f t="shared" si="2"/>
        <v>0</v>
      </c>
      <c r="K23" s="527">
        <v>0</v>
      </c>
      <c r="L23" s="528">
        <v>0</v>
      </c>
      <c r="M23" s="527">
        <v>0</v>
      </c>
      <c r="N23" s="528">
        <v>0</v>
      </c>
      <c r="O23" s="527">
        <v>0</v>
      </c>
      <c r="P23" s="528">
        <v>0</v>
      </c>
      <c r="Q23" s="527">
        <f t="shared" ref="Q23:R23" si="4">K23+M23+O23</f>
        <v>0</v>
      </c>
      <c r="R23" s="529">
        <f t="shared" si="4"/>
        <v>0</v>
      </c>
    </row>
    <row r="24" spans="1:18" s="357" customFormat="1">
      <c r="A24" s="686">
        <v>17</v>
      </c>
      <c r="B24" s="686" t="s">
        <v>35</v>
      </c>
      <c r="C24" s="686">
        <v>0</v>
      </c>
      <c r="D24" s="163">
        <v>0</v>
      </c>
      <c r="E24" s="686">
        <v>2</v>
      </c>
      <c r="F24" s="163">
        <v>4.26</v>
      </c>
      <c r="G24" s="686">
        <v>0</v>
      </c>
      <c r="H24" s="163">
        <v>0</v>
      </c>
      <c r="I24" s="686">
        <f t="shared" si="2"/>
        <v>2</v>
      </c>
      <c r="J24" s="687">
        <f t="shared" si="2"/>
        <v>4.26</v>
      </c>
      <c r="K24" s="686">
        <v>0</v>
      </c>
      <c r="L24" s="163">
        <v>0</v>
      </c>
      <c r="M24" s="686">
        <v>6</v>
      </c>
      <c r="N24" s="163">
        <v>14.82</v>
      </c>
      <c r="O24" s="686">
        <v>0</v>
      </c>
      <c r="P24" s="163">
        <v>0</v>
      </c>
      <c r="Q24" s="686">
        <f t="shared" si="3"/>
        <v>6</v>
      </c>
      <c r="R24" s="687">
        <f t="shared" si="3"/>
        <v>14.82</v>
      </c>
    </row>
    <row r="25" spans="1:18">
      <c r="A25" s="524">
        <v>18</v>
      </c>
      <c r="B25" s="524" t="s">
        <v>54</v>
      </c>
      <c r="C25" s="527">
        <v>0</v>
      </c>
      <c r="D25" s="528">
        <v>0</v>
      </c>
      <c r="E25" s="527">
        <v>2</v>
      </c>
      <c r="F25" s="528">
        <v>20</v>
      </c>
      <c r="G25" s="527">
        <v>0</v>
      </c>
      <c r="H25" s="528">
        <v>0</v>
      </c>
      <c r="I25" s="527">
        <f t="shared" si="2"/>
        <v>2</v>
      </c>
      <c r="J25" s="529">
        <f t="shared" si="2"/>
        <v>20</v>
      </c>
      <c r="K25" s="527">
        <v>0</v>
      </c>
      <c r="L25" s="528">
        <v>0</v>
      </c>
      <c r="M25" s="527">
        <v>48</v>
      </c>
      <c r="N25" s="528">
        <v>531</v>
      </c>
      <c r="O25" s="527">
        <v>0</v>
      </c>
      <c r="P25" s="528">
        <v>0</v>
      </c>
      <c r="Q25" s="527">
        <f t="shared" si="3"/>
        <v>48</v>
      </c>
      <c r="R25" s="529">
        <f t="shared" si="3"/>
        <v>531</v>
      </c>
    </row>
    <row r="26" spans="1:18">
      <c r="A26" s="524">
        <v>19</v>
      </c>
      <c r="B26" s="524" t="s">
        <v>102</v>
      </c>
      <c r="C26" s="527">
        <v>0</v>
      </c>
      <c r="D26" s="528">
        <v>0</v>
      </c>
      <c r="E26" s="527">
        <v>2</v>
      </c>
      <c r="F26" s="528">
        <v>20</v>
      </c>
      <c r="G26" s="527">
        <v>0</v>
      </c>
      <c r="H26" s="528">
        <v>0</v>
      </c>
      <c r="I26" s="527">
        <f t="shared" si="2"/>
        <v>2</v>
      </c>
      <c r="J26" s="529">
        <f t="shared" si="2"/>
        <v>20</v>
      </c>
      <c r="K26" s="527">
        <v>0</v>
      </c>
      <c r="L26" s="528">
        <v>0</v>
      </c>
      <c r="M26" s="527">
        <v>5</v>
      </c>
      <c r="N26" s="528">
        <v>74.61</v>
      </c>
      <c r="O26" s="527">
        <v>0</v>
      </c>
      <c r="P26" s="528">
        <v>0</v>
      </c>
      <c r="Q26" s="527">
        <f t="shared" si="3"/>
        <v>5</v>
      </c>
      <c r="R26" s="529">
        <f t="shared" si="3"/>
        <v>74.61</v>
      </c>
    </row>
    <row r="27" spans="1:18">
      <c r="A27" s="524">
        <v>20</v>
      </c>
      <c r="B27" s="524" t="s">
        <v>104</v>
      </c>
      <c r="C27" s="527">
        <v>0</v>
      </c>
      <c r="D27" s="528">
        <v>0</v>
      </c>
      <c r="E27" s="527">
        <v>9</v>
      </c>
      <c r="F27" s="528">
        <v>263</v>
      </c>
      <c r="G27" s="527">
        <v>0</v>
      </c>
      <c r="H27" s="528">
        <v>0</v>
      </c>
      <c r="I27" s="527">
        <f t="shared" si="2"/>
        <v>9</v>
      </c>
      <c r="J27" s="529">
        <f t="shared" si="2"/>
        <v>263</v>
      </c>
      <c r="K27" s="527">
        <v>0</v>
      </c>
      <c r="L27" s="528">
        <v>0</v>
      </c>
      <c r="M27" s="527">
        <v>23</v>
      </c>
      <c r="N27" s="528">
        <v>499.1</v>
      </c>
      <c r="O27" s="527">
        <v>0</v>
      </c>
      <c r="P27" s="528">
        <v>0</v>
      </c>
      <c r="Q27" s="527">
        <f t="shared" si="3"/>
        <v>23</v>
      </c>
      <c r="R27" s="529">
        <f t="shared" si="3"/>
        <v>499.1</v>
      </c>
    </row>
    <row r="28" spans="1:18">
      <c r="A28" s="524">
        <v>21</v>
      </c>
      <c r="B28" s="524" t="s">
        <v>106</v>
      </c>
      <c r="C28" s="524">
        <v>0</v>
      </c>
      <c r="D28" s="525">
        <v>0</v>
      </c>
      <c r="E28" s="524">
        <v>0</v>
      </c>
      <c r="F28" s="525">
        <v>0</v>
      </c>
      <c r="G28" s="524">
        <v>0</v>
      </c>
      <c r="H28" s="525">
        <v>0</v>
      </c>
      <c r="I28" s="524">
        <f t="shared" si="2"/>
        <v>0</v>
      </c>
      <c r="J28" s="526">
        <f t="shared" si="2"/>
        <v>0</v>
      </c>
      <c r="K28" s="524">
        <v>0</v>
      </c>
      <c r="L28" s="525">
        <v>0</v>
      </c>
      <c r="M28" s="524">
        <v>0</v>
      </c>
      <c r="N28" s="525">
        <v>0</v>
      </c>
      <c r="O28" s="524">
        <v>0</v>
      </c>
      <c r="P28" s="525">
        <v>0</v>
      </c>
      <c r="Q28" s="527">
        <f t="shared" si="3"/>
        <v>0</v>
      </c>
      <c r="R28" s="526">
        <f t="shared" si="3"/>
        <v>0</v>
      </c>
    </row>
    <row r="29" spans="1:18">
      <c r="A29" s="524">
        <v>22</v>
      </c>
      <c r="B29" s="524" t="s">
        <v>481</v>
      </c>
      <c r="C29" s="527">
        <v>0</v>
      </c>
      <c r="D29" s="528">
        <v>0</v>
      </c>
      <c r="E29" s="527">
        <v>0</v>
      </c>
      <c r="F29" s="528">
        <v>0</v>
      </c>
      <c r="G29" s="527">
        <v>2</v>
      </c>
      <c r="H29" s="528">
        <v>20</v>
      </c>
      <c r="I29" s="527">
        <v>2</v>
      </c>
      <c r="J29" s="529">
        <v>15.9</v>
      </c>
      <c r="K29" s="527">
        <v>0</v>
      </c>
      <c r="L29" s="528">
        <v>0</v>
      </c>
      <c r="M29" s="527">
        <v>0</v>
      </c>
      <c r="N29" s="528">
        <v>0</v>
      </c>
      <c r="O29" s="527">
        <v>5</v>
      </c>
      <c r="P29" s="528">
        <v>74.61</v>
      </c>
      <c r="Q29" s="527">
        <f t="shared" si="3"/>
        <v>5</v>
      </c>
      <c r="R29" s="529">
        <f t="shared" si="3"/>
        <v>74.61</v>
      </c>
    </row>
    <row r="30" spans="1:18">
      <c r="A30" s="524">
        <v>23</v>
      </c>
      <c r="B30" s="524" t="s">
        <v>59</v>
      </c>
      <c r="C30" s="524">
        <v>0</v>
      </c>
      <c r="D30" s="525">
        <v>0</v>
      </c>
      <c r="E30" s="524">
        <v>0</v>
      </c>
      <c r="F30" s="525">
        <v>0</v>
      </c>
      <c r="G30" s="524">
        <v>0</v>
      </c>
      <c r="H30" s="525">
        <v>0</v>
      </c>
      <c r="I30" s="524">
        <v>0</v>
      </c>
      <c r="J30" s="526">
        <v>0</v>
      </c>
      <c r="K30" s="524">
        <v>0</v>
      </c>
      <c r="L30" s="525">
        <v>0</v>
      </c>
      <c r="M30" s="524">
        <v>0</v>
      </c>
      <c r="N30" s="525">
        <v>0</v>
      </c>
      <c r="O30" s="524">
        <v>0</v>
      </c>
      <c r="P30" s="525">
        <v>0</v>
      </c>
      <c r="Q30" s="527">
        <f t="shared" si="3"/>
        <v>0</v>
      </c>
      <c r="R30" s="526">
        <f t="shared" si="3"/>
        <v>0</v>
      </c>
    </row>
    <row r="31" spans="1:18">
      <c r="A31" s="724" t="s">
        <v>113</v>
      </c>
      <c r="B31" s="724" t="s">
        <v>13</v>
      </c>
      <c r="C31" s="724">
        <v>0</v>
      </c>
      <c r="D31" s="884">
        <v>0</v>
      </c>
      <c r="E31" s="724">
        <f>SUM(E8:E30)</f>
        <v>22</v>
      </c>
      <c r="F31" s="884">
        <f>SUM(F8:F30)</f>
        <v>413.56</v>
      </c>
      <c r="G31" s="724">
        <f>SUM(G8:G30)</f>
        <v>4</v>
      </c>
      <c r="H31" s="884">
        <f>SUM(H8:H30)</f>
        <v>55</v>
      </c>
      <c r="I31" s="724">
        <f t="shared" si="2"/>
        <v>26</v>
      </c>
      <c r="J31" s="687">
        <f t="shared" si="2"/>
        <v>468.56</v>
      </c>
      <c r="K31" s="724">
        <f t="shared" ref="K31:P31" si="5">SUM(K8:K30)</f>
        <v>0</v>
      </c>
      <c r="L31" s="884">
        <f t="shared" si="5"/>
        <v>0</v>
      </c>
      <c r="M31" s="724">
        <f t="shared" si="5"/>
        <v>834</v>
      </c>
      <c r="N31" s="884">
        <f t="shared" si="5"/>
        <v>13235.95</v>
      </c>
      <c r="O31" s="724">
        <f t="shared" si="5"/>
        <v>355</v>
      </c>
      <c r="P31" s="884">
        <f t="shared" si="5"/>
        <v>4950.6099999999997</v>
      </c>
      <c r="Q31" s="724">
        <f t="shared" si="3"/>
        <v>1189</v>
      </c>
      <c r="R31" s="687">
        <f t="shared" si="3"/>
        <v>18186.560000000001</v>
      </c>
    </row>
    <row r="32" spans="1:18" s="344" customFormat="1">
      <c r="A32" s="924">
        <v>1</v>
      </c>
      <c r="B32" s="924" t="s">
        <v>16</v>
      </c>
      <c r="C32" s="924">
        <v>0</v>
      </c>
      <c r="D32" s="163">
        <v>0</v>
      </c>
      <c r="E32" s="924">
        <v>0</v>
      </c>
      <c r="F32" s="163">
        <v>0</v>
      </c>
      <c r="G32" s="924">
        <v>2</v>
      </c>
      <c r="H32" s="163">
        <v>30</v>
      </c>
      <c r="I32" s="924">
        <f t="shared" si="2"/>
        <v>2</v>
      </c>
      <c r="J32" s="687">
        <f t="shared" si="2"/>
        <v>30</v>
      </c>
      <c r="K32" s="924">
        <v>0</v>
      </c>
      <c r="L32" s="163">
        <v>0</v>
      </c>
      <c r="M32" s="924">
        <v>0</v>
      </c>
      <c r="N32" s="163">
        <v>0</v>
      </c>
      <c r="O32" s="924">
        <v>32</v>
      </c>
      <c r="P32" s="163">
        <v>931.78</v>
      </c>
      <c r="Q32" s="924">
        <f t="shared" si="3"/>
        <v>32</v>
      </c>
      <c r="R32" s="687">
        <f t="shared" si="3"/>
        <v>931.78</v>
      </c>
    </row>
    <row r="33" spans="1:18">
      <c r="A33" s="924">
        <v>1</v>
      </c>
      <c r="B33" s="924" t="s">
        <v>110</v>
      </c>
      <c r="C33" s="924">
        <v>0</v>
      </c>
      <c r="D33" s="163">
        <v>0</v>
      </c>
      <c r="E33" s="924">
        <v>0</v>
      </c>
      <c r="F33" s="163">
        <v>0</v>
      </c>
      <c r="G33" s="924">
        <v>13</v>
      </c>
      <c r="H33" s="163">
        <v>123.46</v>
      </c>
      <c r="I33" s="924">
        <f t="shared" si="2"/>
        <v>13</v>
      </c>
      <c r="J33" s="687">
        <f t="shared" si="2"/>
        <v>123.46</v>
      </c>
      <c r="K33" s="924">
        <v>0</v>
      </c>
      <c r="L33" s="163">
        <v>0</v>
      </c>
      <c r="M33" s="924">
        <v>85</v>
      </c>
      <c r="N33" s="163">
        <v>903.47</v>
      </c>
      <c r="O33" s="924">
        <v>235</v>
      </c>
      <c r="P33" s="163">
        <v>1311.23</v>
      </c>
      <c r="Q33" s="924">
        <f t="shared" si="3"/>
        <v>320</v>
      </c>
      <c r="R33" s="687">
        <f t="shared" si="3"/>
        <v>2214.6999999999998</v>
      </c>
    </row>
    <row r="34" spans="1:18">
      <c r="A34" s="724" t="s">
        <v>135</v>
      </c>
      <c r="B34" s="724" t="s">
        <v>13</v>
      </c>
      <c r="C34" s="724">
        <v>0</v>
      </c>
      <c r="D34" s="884">
        <f>SUM(D31:D33)</f>
        <v>0</v>
      </c>
      <c r="E34" s="724">
        <f>SUM(E31:E33)</f>
        <v>22</v>
      </c>
      <c r="F34" s="884">
        <f>SUM(F31:F33)</f>
        <v>413.56</v>
      </c>
      <c r="G34" s="724">
        <f>SUM(G31:G33)</f>
        <v>19</v>
      </c>
      <c r="H34" s="884">
        <f>SUM(H31:H33)</f>
        <v>208.45999999999998</v>
      </c>
      <c r="I34" s="724">
        <f t="shared" si="2"/>
        <v>41</v>
      </c>
      <c r="J34" s="687">
        <f t="shared" si="2"/>
        <v>622.02</v>
      </c>
      <c r="K34" s="724">
        <f t="shared" ref="K34:P34" si="6">SUM(K31:K33)</f>
        <v>0</v>
      </c>
      <c r="L34" s="973">
        <f t="shared" si="6"/>
        <v>0</v>
      </c>
      <c r="M34" s="724">
        <f t="shared" si="6"/>
        <v>919</v>
      </c>
      <c r="N34" s="884">
        <f t="shared" si="6"/>
        <v>14139.42</v>
      </c>
      <c r="O34" s="724">
        <f t="shared" si="6"/>
        <v>622</v>
      </c>
      <c r="P34" s="884">
        <f t="shared" si="6"/>
        <v>7193.619999999999</v>
      </c>
      <c r="Q34" s="724">
        <f t="shared" si="3"/>
        <v>1541</v>
      </c>
      <c r="R34" s="687">
        <f t="shared" si="3"/>
        <v>21333.040000000001</v>
      </c>
    </row>
    <row r="35" spans="1:18">
      <c r="A35" s="1670" t="s">
        <v>136</v>
      </c>
      <c r="B35" s="1670"/>
      <c r="C35" s="724">
        <v>0</v>
      </c>
      <c r="D35" s="884">
        <v>0</v>
      </c>
      <c r="E35" s="724">
        <v>119</v>
      </c>
      <c r="F35" s="884">
        <v>2838.72</v>
      </c>
      <c r="G35" s="724">
        <v>38</v>
      </c>
      <c r="H35" s="884">
        <v>582.18000000000006</v>
      </c>
      <c r="I35" s="724">
        <v>157</v>
      </c>
      <c r="J35" s="687">
        <v>3420.8999999999996</v>
      </c>
      <c r="K35" s="724">
        <v>0</v>
      </c>
      <c r="L35" s="884">
        <v>0</v>
      </c>
      <c r="M35" s="724">
        <v>877</v>
      </c>
      <c r="N35" s="884">
        <v>15705.21</v>
      </c>
      <c r="O35" s="724">
        <v>722</v>
      </c>
      <c r="P35" s="884">
        <v>6647.4700000000012</v>
      </c>
      <c r="Q35" s="724">
        <v>1599</v>
      </c>
      <c r="R35" s="687">
        <v>22352.68</v>
      </c>
    </row>
  </sheetData>
  <mergeCells count="17">
    <mergeCell ref="A35:B35"/>
    <mergeCell ref="G6:H6"/>
    <mergeCell ref="I6:J6"/>
    <mergeCell ref="K6:L6"/>
    <mergeCell ref="M6:N6"/>
    <mergeCell ref="O6:P6"/>
    <mergeCell ref="Q6:R6"/>
    <mergeCell ref="A1:R1"/>
    <mergeCell ref="A2:R2"/>
    <mergeCell ref="G3:L3"/>
    <mergeCell ref="O4:R4"/>
    <mergeCell ref="A5:A7"/>
    <mergeCell ref="B5:B7"/>
    <mergeCell ref="C5:J5"/>
    <mergeCell ref="K5:R5"/>
    <mergeCell ref="C6:D6"/>
    <mergeCell ref="E6:F6"/>
  </mergeCells>
  <pageMargins left="0.7" right="0.7" top="0.75" bottom="0.75" header="0.3" footer="0.3"/>
  <pageSetup scale="70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L12" sqref="L12"/>
    </sheetView>
  </sheetViews>
  <sheetFormatPr defaultRowHeight="15"/>
  <sheetData>
    <row r="1" spans="1:9" ht="15.75">
      <c r="B1" s="1560">
        <v>72</v>
      </c>
      <c r="C1" s="1560"/>
      <c r="D1" s="1560"/>
      <c r="E1" s="1560"/>
      <c r="F1" s="1560"/>
      <c r="G1" s="1560"/>
      <c r="H1" s="1560"/>
      <c r="I1" s="1560"/>
    </row>
    <row r="2" spans="1:9" ht="18">
      <c r="B2" s="229"/>
      <c r="C2" s="1561" t="s">
        <v>632</v>
      </c>
      <c r="D2" s="1561"/>
      <c r="E2" s="1561"/>
      <c r="F2" s="1561"/>
      <c r="G2" s="1561"/>
      <c r="H2" s="1561"/>
      <c r="I2" s="229"/>
    </row>
    <row r="3" spans="1:9" ht="18">
      <c r="B3" s="229"/>
      <c r="C3" s="265"/>
      <c r="D3" s="265"/>
      <c r="E3" s="1561" t="s">
        <v>563</v>
      </c>
      <c r="F3" s="1561"/>
      <c r="G3" s="1561"/>
      <c r="H3" s="265"/>
      <c r="I3" s="229"/>
    </row>
    <row r="4" spans="1:9" ht="18">
      <c r="B4" s="266"/>
      <c r="C4" s="267"/>
      <c r="D4" s="1562" t="s">
        <v>334</v>
      </c>
      <c r="E4" s="1562"/>
      <c r="F4" s="1562"/>
      <c r="G4" s="1562"/>
      <c r="H4" s="1563" t="s">
        <v>327</v>
      </c>
      <c r="I4" s="1563"/>
    </row>
    <row r="5" spans="1:9">
      <c r="B5" s="1564" t="s">
        <v>335</v>
      </c>
      <c r="C5" s="1564" t="s">
        <v>5</v>
      </c>
      <c r="D5" s="1566" t="s">
        <v>336</v>
      </c>
      <c r="E5" s="1566"/>
      <c r="F5" s="1566" t="s">
        <v>337</v>
      </c>
      <c r="G5" s="1566"/>
      <c r="H5" s="1566" t="s">
        <v>338</v>
      </c>
      <c r="I5" s="1566"/>
    </row>
    <row r="6" spans="1:9">
      <c r="B6" s="1565"/>
      <c r="C6" s="1565"/>
      <c r="D6" s="268" t="s">
        <v>302</v>
      </c>
      <c r="E6" s="268"/>
      <c r="F6" s="268" t="s">
        <v>302</v>
      </c>
      <c r="G6" s="268" t="s">
        <v>339</v>
      </c>
      <c r="H6" s="269" t="s">
        <v>302</v>
      </c>
      <c r="I6" s="269" t="s">
        <v>339</v>
      </c>
    </row>
    <row r="7" spans="1:9">
      <c r="B7" s="102">
        <v>1</v>
      </c>
      <c r="C7" s="102" t="s">
        <v>78</v>
      </c>
      <c r="D7" s="102">
        <v>0</v>
      </c>
      <c r="E7" s="530">
        <v>0</v>
      </c>
      <c r="F7" s="102">
        <v>0</v>
      </c>
      <c r="G7" s="530">
        <v>0</v>
      </c>
      <c r="H7" s="102">
        <v>0</v>
      </c>
      <c r="I7" s="531">
        <v>0</v>
      </c>
    </row>
    <row r="8" spans="1:9" s="344" customFormat="1">
      <c r="A8" s="713"/>
      <c r="B8" s="105">
        <v>2</v>
      </c>
      <c r="C8" s="105" t="s">
        <v>27</v>
      </c>
      <c r="D8" s="105">
        <v>0</v>
      </c>
      <c r="E8" s="552">
        <v>0</v>
      </c>
      <c r="F8" s="105">
        <v>0</v>
      </c>
      <c r="G8" s="552">
        <v>0</v>
      </c>
      <c r="H8" s="105">
        <v>0</v>
      </c>
      <c r="I8" s="553">
        <v>0</v>
      </c>
    </row>
    <row r="9" spans="1:9">
      <c r="B9" s="102">
        <v>3</v>
      </c>
      <c r="C9" s="102" t="s">
        <v>46</v>
      </c>
      <c r="D9" s="102">
        <v>0</v>
      </c>
      <c r="E9" s="530">
        <v>0</v>
      </c>
      <c r="F9" s="102">
        <v>0</v>
      </c>
      <c r="G9" s="530">
        <v>0</v>
      </c>
      <c r="H9" s="102">
        <v>4</v>
      </c>
      <c r="I9" s="531">
        <v>5.88</v>
      </c>
    </row>
    <row r="10" spans="1:9" s="344" customFormat="1">
      <c r="A10" s="472"/>
      <c r="B10" s="448">
        <v>4</v>
      </c>
      <c r="C10" s="448" t="s">
        <v>32</v>
      </c>
      <c r="D10" s="448">
        <v>0</v>
      </c>
      <c r="E10" s="497">
        <v>0</v>
      </c>
      <c r="F10" s="448">
        <v>0</v>
      </c>
      <c r="G10" s="497">
        <v>0</v>
      </c>
      <c r="H10" s="448">
        <v>1</v>
      </c>
      <c r="I10" s="498">
        <v>1.25</v>
      </c>
    </row>
    <row r="11" spans="1:9">
      <c r="B11" s="102">
        <v>5</v>
      </c>
      <c r="C11" s="102" t="s">
        <v>83</v>
      </c>
      <c r="D11" s="102">
        <v>0</v>
      </c>
      <c r="E11" s="530">
        <v>0</v>
      </c>
      <c r="F11" s="102">
        <v>0</v>
      </c>
      <c r="G11" s="530">
        <v>0</v>
      </c>
      <c r="H11" s="102">
        <v>0</v>
      </c>
      <c r="I11" s="531">
        <v>0</v>
      </c>
    </row>
    <row r="12" spans="1:9" s="344" customFormat="1">
      <c r="A12" s="713"/>
      <c r="B12" s="105">
        <v>6</v>
      </c>
      <c r="C12" s="105" t="s">
        <v>85</v>
      </c>
      <c r="D12" s="105">
        <v>1</v>
      </c>
      <c r="E12" s="552">
        <v>1.0900000000000001</v>
      </c>
      <c r="F12" s="105">
        <v>1</v>
      </c>
      <c r="G12" s="552">
        <v>1.0900000000000001</v>
      </c>
      <c r="H12" s="105">
        <v>4</v>
      </c>
      <c r="I12" s="553">
        <v>10.73</v>
      </c>
    </row>
    <row r="13" spans="1:9" s="344" customFormat="1">
      <c r="A13" s="713"/>
      <c r="B13" s="105">
        <v>7</v>
      </c>
      <c r="C13" s="105" t="s">
        <v>17</v>
      </c>
      <c r="D13" s="105">
        <v>0</v>
      </c>
      <c r="E13" s="552">
        <v>0</v>
      </c>
      <c r="F13" s="105">
        <v>0</v>
      </c>
      <c r="G13" s="552">
        <v>0</v>
      </c>
      <c r="H13" s="105">
        <v>14</v>
      </c>
      <c r="I13" s="553">
        <v>31.02</v>
      </c>
    </row>
    <row r="14" spans="1:9" s="344" customFormat="1">
      <c r="A14" s="472"/>
      <c r="B14" s="448">
        <v>8</v>
      </c>
      <c r="C14" s="448" t="s">
        <v>26</v>
      </c>
      <c r="D14" s="448">
        <v>0</v>
      </c>
      <c r="E14" s="497">
        <v>0</v>
      </c>
      <c r="F14" s="448">
        <v>0</v>
      </c>
      <c r="G14" s="497">
        <v>0</v>
      </c>
      <c r="H14" s="448">
        <v>0</v>
      </c>
      <c r="I14" s="498">
        <v>0</v>
      </c>
    </row>
    <row r="15" spans="1:9" s="344" customFormat="1">
      <c r="A15" s="472"/>
      <c r="B15" s="448">
        <v>9</v>
      </c>
      <c r="C15" s="448" t="s">
        <v>11</v>
      </c>
      <c r="D15" s="448">
        <v>0</v>
      </c>
      <c r="E15" s="497">
        <v>0</v>
      </c>
      <c r="F15" s="448">
        <v>0</v>
      </c>
      <c r="G15" s="497">
        <v>0</v>
      </c>
      <c r="H15" s="448">
        <v>0</v>
      </c>
      <c r="I15" s="498">
        <v>0</v>
      </c>
    </row>
    <row r="16" spans="1:9">
      <c r="B16" s="102">
        <v>10</v>
      </c>
      <c r="C16" s="102" t="s">
        <v>90</v>
      </c>
      <c r="D16" s="102">
        <v>0</v>
      </c>
      <c r="E16" s="530">
        <v>0</v>
      </c>
      <c r="F16" s="102">
        <v>0</v>
      </c>
      <c r="G16" s="530">
        <v>0</v>
      </c>
      <c r="H16" s="102">
        <v>1</v>
      </c>
      <c r="I16" s="531">
        <v>6.6</v>
      </c>
    </row>
    <row r="17" spans="1:9">
      <c r="B17" s="102">
        <v>11</v>
      </c>
      <c r="C17" s="102" t="s">
        <v>284</v>
      </c>
      <c r="D17" s="102">
        <v>0</v>
      </c>
      <c r="E17" s="530">
        <v>0</v>
      </c>
      <c r="F17" s="102">
        <v>0</v>
      </c>
      <c r="G17" s="530">
        <v>0</v>
      </c>
      <c r="H17" s="102">
        <v>1</v>
      </c>
      <c r="I17" s="531">
        <v>6.69</v>
      </c>
    </row>
    <row r="18" spans="1:9">
      <c r="B18" s="102">
        <v>12</v>
      </c>
      <c r="C18" s="102" t="s">
        <v>51</v>
      </c>
      <c r="D18" s="102">
        <v>0</v>
      </c>
      <c r="E18" s="530">
        <v>0</v>
      </c>
      <c r="F18" s="102">
        <v>0</v>
      </c>
      <c r="G18" s="530">
        <v>0</v>
      </c>
      <c r="H18" s="102">
        <v>0</v>
      </c>
      <c r="I18" s="531">
        <v>0</v>
      </c>
    </row>
    <row r="19" spans="1:9">
      <c r="B19" s="102">
        <v>13</v>
      </c>
      <c r="C19" s="102" t="s">
        <v>52</v>
      </c>
      <c r="D19" s="102">
        <v>0</v>
      </c>
      <c r="E19" s="530">
        <v>0</v>
      </c>
      <c r="F19" s="102">
        <v>0</v>
      </c>
      <c r="G19" s="530">
        <v>0</v>
      </c>
      <c r="H19" s="102">
        <v>2</v>
      </c>
      <c r="I19" s="531">
        <v>20.07</v>
      </c>
    </row>
    <row r="20" spans="1:9">
      <c r="A20" s="171"/>
      <c r="B20" s="105">
        <v>14</v>
      </c>
      <c r="C20" s="105" t="s">
        <v>28</v>
      </c>
      <c r="D20" s="105">
        <v>0</v>
      </c>
      <c r="E20" s="552">
        <v>0</v>
      </c>
      <c r="F20" s="105">
        <v>0</v>
      </c>
      <c r="G20" s="552">
        <v>0</v>
      </c>
      <c r="H20" s="105">
        <v>41</v>
      </c>
      <c r="I20" s="553">
        <f>76.34+44</f>
        <v>120.34</v>
      </c>
    </row>
    <row r="21" spans="1:9">
      <c r="A21" s="240"/>
      <c r="B21" s="448">
        <v>15</v>
      </c>
      <c r="C21" s="448" t="s">
        <v>10</v>
      </c>
      <c r="D21" s="448">
        <v>27</v>
      </c>
      <c r="E21" s="497">
        <v>167.72</v>
      </c>
      <c r="F21" s="448">
        <v>27</v>
      </c>
      <c r="G21" s="497">
        <v>167.72</v>
      </c>
      <c r="H21" s="448">
        <v>408</v>
      </c>
      <c r="I21" s="498">
        <v>1309.82</v>
      </c>
    </row>
    <row r="22" spans="1:9">
      <c r="B22" s="102">
        <v>16</v>
      </c>
      <c r="C22" s="102" t="s">
        <v>53</v>
      </c>
      <c r="D22" s="102">
        <v>2</v>
      </c>
      <c r="E22" s="530">
        <v>2.75</v>
      </c>
      <c r="F22" s="102">
        <v>0</v>
      </c>
      <c r="G22" s="530">
        <v>0</v>
      </c>
      <c r="H22" s="102">
        <v>2</v>
      </c>
      <c r="I22" s="531">
        <v>2.75</v>
      </c>
    </row>
    <row r="23" spans="1:9" s="344" customFormat="1">
      <c r="A23" s="472"/>
      <c r="B23" s="448">
        <v>17</v>
      </c>
      <c r="C23" s="448" t="s">
        <v>35</v>
      </c>
      <c r="D23" s="448">
        <v>0</v>
      </c>
      <c r="E23" s="497">
        <v>0</v>
      </c>
      <c r="F23" s="448">
        <v>2</v>
      </c>
      <c r="G23" s="497">
        <v>4.26</v>
      </c>
      <c r="H23" s="448">
        <v>6</v>
      </c>
      <c r="I23" s="498">
        <v>14.82</v>
      </c>
    </row>
    <row r="24" spans="1:9">
      <c r="B24" s="102">
        <v>18</v>
      </c>
      <c r="C24" s="102" t="s">
        <v>54</v>
      </c>
      <c r="D24" s="102">
        <v>0</v>
      </c>
      <c r="E24" s="530">
        <v>0</v>
      </c>
      <c r="F24" s="102">
        <v>0</v>
      </c>
      <c r="G24" s="530">
        <v>0</v>
      </c>
      <c r="H24" s="102">
        <v>10</v>
      </c>
      <c r="I24" s="531">
        <v>31</v>
      </c>
    </row>
    <row r="25" spans="1:9">
      <c r="B25" s="102">
        <v>19</v>
      </c>
      <c r="C25" s="102" t="s">
        <v>285</v>
      </c>
      <c r="D25" s="102">
        <v>0</v>
      </c>
      <c r="E25" s="530">
        <v>0</v>
      </c>
      <c r="F25" s="102">
        <v>0</v>
      </c>
      <c r="G25" s="530">
        <v>0</v>
      </c>
      <c r="H25" s="102">
        <v>0</v>
      </c>
      <c r="I25" s="531">
        <v>0</v>
      </c>
    </row>
    <row r="26" spans="1:9">
      <c r="B26" s="102">
        <v>20</v>
      </c>
      <c r="C26" s="102" t="s">
        <v>23</v>
      </c>
      <c r="D26" s="102">
        <v>6</v>
      </c>
      <c r="E26" s="530">
        <v>19.03</v>
      </c>
      <c r="F26" s="102">
        <v>6</v>
      </c>
      <c r="G26" s="530">
        <v>13.9</v>
      </c>
      <c r="H26" s="102">
        <v>24</v>
      </c>
      <c r="I26" s="531">
        <v>42.32</v>
      </c>
    </row>
    <row r="27" spans="1:9">
      <c r="B27" s="102">
        <v>21</v>
      </c>
      <c r="C27" s="102" t="s">
        <v>106</v>
      </c>
      <c r="D27" s="102">
        <v>0</v>
      </c>
      <c r="E27" s="530">
        <v>0</v>
      </c>
      <c r="F27" s="102">
        <v>0</v>
      </c>
      <c r="G27" s="530">
        <v>0</v>
      </c>
      <c r="H27" s="102">
        <v>0</v>
      </c>
      <c r="I27" s="531">
        <v>0</v>
      </c>
    </row>
    <row r="28" spans="1:9">
      <c r="B28" s="102">
        <v>22</v>
      </c>
      <c r="C28" s="102" t="s">
        <v>481</v>
      </c>
      <c r="D28" s="102">
        <v>0</v>
      </c>
      <c r="E28" s="530">
        <v>0</v>
      </c>
      <c r="F28" s="102">
        <v>0</v>
      </c>
      <c r="G28" s="530">
        <v>0</v>
      </c>
      <c r="H28" s="102">
        <v>0</v>
      </c>
      <c r="I28" s="531">
        <v>0</v>
      </c>
    </row>
    <row r="29" spans="1:9">
      <c r="B29" s="102">
        <v>23</v>
      </c>
      <c r="C29" s="102" t="s">
        <v>59</v>
      </c>
      <c r="D29" s="102">
        <v>0</v>
      </c>
      <c r="E29" s="530">
        <v>0</v>
      </c>
      <c r="F29" s="102">
        <v>0</v>
      </c>
      <c r="G29" s="530">
        <v>0</v>
      </c>
      <c r="H29" s="102">
        <v>0</v>
      </c>
      <c r="I29" s="531">
        <v>0</v>
      </c>
    </row>
    <row r="30" spans="1:9">
      <c r="A30" s="240"/>
      <c r="B30" s="1687" t="s">
        <v>340</v>
      </c>
      <c r="C30" s="1688"/>
      <c r="D30" s="807">
        <f t="shared" ref="D30:I30" si="0">SUM(D7:D29)</f>
        <v>36</v>
      </c>
      <c r="E30" s="808">
        <f t="shared" si="0"/>
        <v>190.59</v>
      </c>
      <c r="F30" s="807">
        <f t="shared" si="0"/>
        <v>36</v>
      </c>
      <c r="G30" s="808">
        <f t="shared" si="0"/>
        <v>186.97</v>
      </c>
      <c r="H30" s="807">
        <f t="shared" si="0"/>
        <v>518</v>
      </c>
      <c r="I30" s="809">
        <f t="shared" si="0"/>
        <v>1603.2899999999997</v>
      </c>
    </row>
    <row r="31" spans="1:9" s="344" customFormat="1">
      <c r="A31" s="472"/>
      <c r="B31" s="448">
        <v>23</v>
      </c>
      <c r="C31" s="448" t="s">
        <v>16</v>
      </c>
      <c r="D31" s="448">
        <v>1</v>
      </c>
      <c r="E31" s="497">
        <v>1</v>
      </c>
      <c r="F31" s="448">
        <v>6</v>
      </c>
      <c r="G31" s="497">
        <v>26.89</v>
      </c>
      <c r="H31" s="448">
        <v>6</v>
      </c>
      <c r="I31" s="498">
        <v>26.89</v>
      </c>
    </row>
    <row r="32" spans="1:9" s="344" customFormat="1">
      <c r="A32" s="713"/>
      <c r="B32" s="105">
        <v>24</v>
      </c>
      <c r="C32" s="105" t="s">
        <v>12</v>
      </c>
      <c r="D32" s="105">
        <v>6</v>
      </c>
      <c r="E32" s="552">
        <v>22.43</v>
      </c>
      <c r="F32" s="105">
        <v>6</v>
      </c>
      <c r="G32" s="552">
        <v>22.43</v>
      </c>
      <c r="H32" s="105">
        <v>11</v>
      </c>
      <c r="I32" s="553">
        <v>39.39</v>
      </c>
    </row>
    <row r="33" spans="1:9">
      <c r="A33" s="240"/>
      <c r="B33" s="1687" t="s">
        <v>206</v>
      </c>
      <c r="C33" s="1688"/>
      <c r="D33" s="807">
        <f t="shared" ref="D33:I33" si="1">SUM(D30:D32)</f>
        <v>43</v>
      </c>
      <c r="E33" s="808">
        <f t="shared" si="1"/>
        <v>214.02</v>
      </c>
      <c r="F33" s="807">
        <f t="shared" si="1"/>
        <v>48</v>
      </c>
      <c r="G33" s="808">
        <f t="shared" si="1"/>
        <v>236.29000000000002</v>
      </c>
      <c r="H33" s="807">
        <f t="shared" si="1"/>
        <v>535</v>
      </c>
      <c r="I33" s="809">
        <f t="shared" si="1"/>
        <v>1669.57</v>
      </c>
    </row>
    <row r="34" spans="1:9">
      <c r="A34" s="240"/>
      <c r="B34" s="1689" t="s">
        <v>341</v>
      </c>
      <c r="C34" s="1690"/>
      <c r="D34" s="811">
        <v>74</v>
      </c>
      <c r="E34" s="812">
        <v>215.13</v>
      </c>
      <c r="F34" s="811">
        <v>74</v>
      </c>
      <c r="G34" s="812">
        <v>199.63</v>
      </c>
      <c r="H34" s="811">
        <v>505</v>
      </c>
      <c r="I34" s="813">
        <v>1527.05</v>
      </c>
    </row>
  </sheetData>
  <mergeCells count="13">
    <mergeCell ref="B30:C30"/>
    <mergeCell ref="B33:C33"/>
    <mergeCell ref="B34:C34"/>
    <mergeCell ref="B1:I1"/>
    <mergeCell ref="C2:H2"/>
    <mergeCell ref="D4:G4"/>
    <mergeCell ref="H4:I4"/>
    <mergeCell ref="B5:B6"/>
    <mergeCell ref="C5:C6"/>
    <mergeCell ref="D5:E5"/>
    <mergeCell ref="F5:G5"/>
    <mergeCell ref="H5:I5"/>
    <mergeCell ref="E3:G3"/>
  </mergeCell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1"/>
    </sheetView>
  </sheetViews>
  <sheetFormatPr defaultRowHeight="15"/>
  <cols>
    <col min="2" max="2" width="10.5703125" customWidth="1"/>
  </cols>
  <sheetData>
    <row r="1" spans="1:12" ht="15.75">
      <c r="A1" s="1482">
        <v>73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</row>
    <row r="2" spans="1:12" ht="15.75">
      <c r="A2" s="1569" t="s">
        <v>321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2" ht="15.75">
      <c r="B3" s="256"/>
      <c r="D3" s="1570" t="s">
        <v>563</v>
      </c>
      <c r="E3" s="1570"/>
      <c r="F3" s="1570"/>
      <c r="G3" s="1570"/>
      <c r="H3" s="258"/>
      <c r="I3" s="261"/>
      <c r="J3" s="1571" t="s">
        <v>3</v>
      </c>
      <c r="K3" s="1571"/>
      <c r="L3" s="1571"/>
    </row>
    <row r="4" spans="1:12">
      <c r="A4" s="1554" t="s">
        <v>130</v>
      </c>
      <c r="B4" s="1554" t="s">
        <v>131</v>
      </c>
      <c r="C4" s="1572" t="s">
        <v>322</v>
      </c>
      <c r="D4" s="1541"/>
      <c r="E4" s="1573" t="s">
        <v>323</v>
      </c>
      <c r="F4" s="1574"/>
      <c r="G4" s="1575" t="s">
        <v>211</v>
      </c>
      <c r="H4" s="1575" t="s">
        <v>212</v>
      </c>
      <c r="I4" s="1575" t="s">
        <v>213</v>
      </c>
      <c r="J4" s="1577" t="s">
        <v>312</v>
      </c>
      <c r="K4" s="1579" t="s">
        <v>324</v>
      </c>
      <c r="L4" s="1579" t="s">
        <v>325</v>
      </c>
    </row>
    <row r="5" spans="1:12">
      <c r="A5" s="1554"/>
      <c r="B5" s="1554"/>
      <c r="C5" s="246" t="s">
        <v>282</v>
      </c>
      <c r="D5" s="246" t="s">
        <v>258</v>
      </c>
      <c r="E5" s="246" t="s">
        <v>282</v>
      </c>
      <c r="F5" s="246" t="s">
        <v>258</v>
      </c>
      <c r="G5" s="1576"/>
      <c r="H5" s="1576"/>
      <c r="I5" s="1576"/>
      <c r="J5" s="1578"/>
      <c r="K5" s="1580"/>
      <c r="L5" s="1580"/>
    </row>
    <row r="6" spans="1:12" ht="15.75">
      <c r="A6" s="519">
        <v>1</v>
      </c>
      <c r="B6" s="519" t="s">
        <v>78</v>
      </c>
      <c r="C6" s="519">
        <v>0</v>
      </c>
      <c r="D6" s="520">
        <v>0</v>
      </c>
      <c r="E6" s="519">
        <v>0</v>
      </c>
      <c r="F6" s="520">
        <v>0</v>
      </c>
      <c r="G6" s="520">
        <v>0</v>
      </c>
      <c r="H6" s="520">
        <v>0</v>
      </c>
      <c r="I6" s="520">
        <v>0</v>
      </c>
      <c r="J6" s="520">
        <f t="shared" ref="J6" si="0">G6-H6</f>
        <v>0</v>
      </c>
      <c r="K6" s="521">
        <v>0</v>
      </c>
      <c r="L6" s="521">
        <v>0</v>
      </c>
    </row>
    <row r="7" spans="1:12" s="344" customFormat="1">
      <c r="A7" s="494">
        <v>2</v>
      </c>
      <c r="B7" s="486" t="s">
        <v>27</v>
      </c>
      <c r="C7" s="486">
        <v>0</v>
      </c>
      <c r="D7" s="487">
        <v>0</v>
      </c>
      <c r="E7" s="490">
        <v>0</v>
      </c>
      <c r="F7" s="487">
        <v>1.0000000000000001E-5</v>
      </c>
      <c r="G7" s="487">
        <v>9.9999999999999995E-7</v>
      </c>
      <c r="H7" s="487">
        <v>0</v>
      </c>
      <c r="I7" s="487">
        <f>H7/G7%</f>
        <v>0</v>
      </c>
      <c r="J7" s="495">
        <f t="shared" ref="J7:J31" si="1">G7-H7</f>
        <v>9.9999999999999995E-7</v>
      </c>
      <c r="K7" s="166">
        <v>0</v>
      </c>
      <c r="L7" s="166">
        <f t="shared" ref="L7:L20" si="2">K7/F7%</f>
        <v>0</v>
      </c>
    </row>
    <row r="8" spans="1:12" ht="15.75">
      <c r="A8" s="519">
        <v>3</v>
      </c>
      <c r="B8" s="519" t="s">
        <v>46</v>
      </c>
      <c r="C8" s="519">
        <v>0</v>
      </c>
      <c r="D8" s="520">
        <v>0</v>
      </c>
      <c r="E8" s="519">
        <v>0</v>
      </c>
      <c r="F8" s="520">
        <v>0</v>
      </c>
      <c r="G8" s="520">
        <v>0</v>
      </c>
      <c r="H8" s="520">
        <v>0</v>
      </c>
      <c r="I8" s="520">
        <v>0</v>
      </c>
      <c r="J8" s="520">
        <f t="shared" si="1"/>
        <v>0</v>
      </c>
      <c r="K8" s="521">
        <v>0</v>
      </c>
      <c r="L8" s="521">
        <v>0</v>
      </c>
    </row>
    <row r="9" spans="1:12" s="344" customFormat="1">
      <c r="A9" s="494">
        <v>4</v>
      </c>
      <c r="B9" s="486" t="s">
        <v>32</v>
      </c>
      <c r="C9" s="486">
        <v>0</v>
      </c>
      <c r="D9" s="487">
        <v>0</v>
      </c>
      <c r="E9" s="490">
        <v>89</v>
      </c>
      <c r="F9" s="487">
        <v>388.31</v>
      </c>
      <c r="G9" s="487">
        <v>0</v>
      </c>
      <c r="H9" s="487">
        <v>0</v>
      </c>
      <c r="I9" s="487">
        <v>0</v>
      </c>
      <c r="J9" s="495">
        <f t="shared" si="1"/>
        <v>0</v>
      </c>
      <c r="K9" s="166">
        <v>246.75</v>
      </c>
      <c r="L9" s="166">
        <f t="shared" si="2"/>
        <v>63.544590662099864</v>
      </c>
    </row>
    <row r="10" spans="1:12" ht="15.75">
      <c r="A10" s="519">
        <v>5</v>
      </c>
      <c r="B10" s="519" t="s">
        <v>83</v>
      </c>
      <c r="C10" s="519">
        <v>0</v>
      </c>
      <c r="D10" s="520">
        <v>0</v>
      </c>
      <c r="E10" s="519">
        <v>0</v>
      </c>
      <c r="F10" s="520">
        <v>0</v>
      </c>
      <c r="G10" s="520">
        <v>0</v>
      </c>
      <c r="H10" s="520">
        <v>0</v>
      </c>
      <c r="I10" s="520">
        <v>0</v>
      </c>
      <c r="J10" s="520">
        <f t="shared" si="1"/>
        <v>0</v>
      </c>
      <c r="K10" s="521">
        <v>0</v>
      </c>
      <c r="L10" s="521">
        <v>0</v>
      </c>
    </row>
    <row r="11" spans="1:12" s="344" customFormat="1">
      <c r="A11" s="494">
        <v>6</v>
      </c>
      <c r="B11" s="486" t="s">
        <v>85</v>
      </c>
      <c r="C11" s="486">
        <v>0</v>
      </c>
      <c r="D11" s="487">
        <v>0</v>
      </c>
      <c r="E11" s="490">
        <v>0</v>
      </c>
      <c r="F11" s="487">
        <v>0</v>
      </c>
      <c r="G11" s="487">
        <v>0</v>
      </c>
      <c r="H11" s="487">
        <v>0</v>
      </c>
      <c r="I11" s="487">
        <v>0</v>
      </c>
      <c r="J11" s="495">
        <f t="shared" si="1"/>
        <v>0</v>
      </c>
      <c r="K11" s="166">
        <v>0</v>
      </c>
      <c r="L11" s="166">
        <v>0</v>
      </c>
    </row>
    <row r="12" spans="1:12" s="344" customFormat="1">
      <c r="A12" s="494">
        <v>7</v>
      </c>
      <c r="B12" s="486" t="s">
        <v>17</v>
      </c>
      <c r="C12" s="486">
        <v>0</v>
      </c>
      <c r="D12" s="487">
        <v>0</v>
      </c>
      <c r="E12" s="490">
        <v>0</v>
      </c>
      <c r="F12" s="487">
        <v>0</v>
      </c>
      <c r="G12" s="487">
        <v>0</v>
      </c>
      <c r="H12" s="487">
        <v>0</v>
      </c>
      <c r="I12" s="487">
        <v>0</v>
      </c>
      <c r="J12" s="495">
        <f t="shared" si="1"/>
        <v>0</v>
      </c>
      <c r="K12" s="166">
        <v>0</v>
      </c>
      <c r="L12" s="166">
        <v>0</v>
      </c>
    </row>
    <row r="13" spans="1:12" s="344" customFormat="1">
      <c r="A13" s="494">
        <v>8</v>
      </c>
      <c r="B13" s="486" t="s">
        <v>26</v>
      </c>
      <c r="C13" s="486">
        <v>0</v>
      </c>
      <c r="D13" s="487">
        <v>0</v>
      </c>
      <c r="E13" s="490">
        <v>0</v>
      </c>
      <c r="F13" s="487">
        <v>9.9999999999999995E-7</v>
      </c>
      <c r="G13" s="487">
        <v>9.9999999999999995E-7</v>
      </c>
      <c r="H13" s="487">
        <v>0</v>
      </c>
      <c r="I13" s="487">
        <f t="shared" ref="I13:I31" si="3">H13/G13%</f>
        <v>0</v>
      </c>
      <c r="J13" s="495">
        <f t="shared" si="1"/>
        <v>9.9999999999999995E-7</v>
      </c>
      <c r="K13" s="166">
        <v>0</v>
      </c>
      <c r="L13" s="166">
        <f t="shared" si="2"/>
        <v>0</v>
      </c>
    </row>
    <row r="14" spans="1:12" s="344" customFormat="1">
      <c r="A14" s="494">
        <v>9</v>
      </c>
      <c r="B14" s="486" t="s">
        <v>11</v>
      </c>
      <c r="C14" s="486">
        <v>0</v>
      </c>
      <c r="D14" s="487">
        <v>0</v>
      </c>
      <c r="E14" s="490">
        <v>0</v>
      </c>
      <c r="F14" s="487">
        <v>9.9999999999999995E-7</v>
      </c>
      <c r="G14" s="487">
        <v>9.9999999999999995E-7</v>
      </c>
      <c r="H14" s="487">
        <v>0</v>
      </c>
      <c r="I14" s="487">
        <f t="shared" si="3"/>
        <v>0</v>
      </c>
      <c r="J14" s="495">
        <f t="shared" si="1"/>
        <v>9.9999999999999995E-7</v>
      </c>
      <c r="K14" s="166">
        <v>0</v>
      </c>
      <c r="L14" s="166">
        <f t="shared" si="2"/>
        <v>0</v>
      </c>
    </row>
    <row r="15" spans="1:12" ht="15.75">
      <c r="A15" s="519">
        <v>10</v>
      </c>
      <c r="B15" s="519" t="s">
        <v>90</v>
      </c>
      <c r="C15" s="519">
        <v>1</v>
      </c>
      <c r="D15" s="520">
        <v>4</v>
      </c>
      <c r="E15" s="519">
        <v>32</v>
      </c>
      <c r="F15" s="520">
        <v>198.83</v>
      </c>
      <c r="G15" s="520">
        <v>0</v>
      </c>
      <c r="H15" s="520">
        <v>0</v>
      </c>
      <c r="I15" s="520">
        <v>0</v>
      </c>
      <c r="J15" s="520">
        <f t="shared" si="1"/>
        <v>0</v>
      </c>
      <c r="K15" s="520">
        <v>0</v>
      </c>
      <c r="L15" s="521">
        <v>0</v>
      </c>
    </row>
    <row r="16" spans="1:12" ht="15.75">
      <c r="A16" s="519">
        <v>11</v>
      </c>
      <c r="B16" s="519" t="s">
        <v>92</v>
      </c>
      <c r="C16" s="522">
        <v>0</v>
      </c>
      <c r="D16" s="523">
        <v>0</v>
      </c>
      <c r="E16" s="522">
        <v>1</v>
      </c>
      <c r="F16" s="523">
        <v>6.15</v>
      </c>
      <c r="G16" s="523">
        <v>6.15</v>
      </c>
      <c r="H16" s="523">
        <v>0</v>
      </c>
      <c r="I16" s="523">
        <v>0</v>
      </c>
      <c r="J16" s="523">
        <v>0</v>
      </c>
      <c r="K16" s="523">
        <v>6.15</v>
      </c>
      <c r="L16" s="318">
        <v>0</v>
      </c>
    </row>
    <row r="17" spans="1:12" ht="15.75">
      <c r="A17" s="519">
        <v>12</v>
      </c>
      <c r="B17" s="519" t="s">
        <v>51</v>
      </c>
      <c r="C17" s="519">
        <v>0</v>
      </c>
      <c r="D17" s="520">
        <v>0</v>
      </c>
      <c r="E17" s="519">
        <v>6</v>
      </c>
      <c r="F17" s="520">
        <v>16.27</v>
      </c>
      <c r="G17" s="520">
        <v>1.89</v>
      </c>
      <c r="H17" s="520">
        <v>0.1</v>
      </c>
      <c r="I17" s="520">
        <f>H17/G17%</f>
        <v>5.2910052910052912</v>
      </c>
      <c r="J17" s="520">
        <v>1.87</v>
      </c>
      <c r="K17" s="520">
        <v>1.87</v>
      </c>
      <c r="L17" s="521">
        <v>100</v>
      </c>
    </row>
    <row r="18" spans="1:12" ht="15.75">
      <c r="A18" s="519">
        <v>13</v>
      </c>
      <c r="B18" s="519" t="s">
        <v>52</v>
      </c>
      <c r="C18" s="522">
        <v>1</v>
      </c>
      <c r="D18" s="523">
        <v>8.25</v>
      </c>
      <c r="E18" s="522">
        <v>1</v>
      </c>
      <c r="F18" s="523">
        <v>7.55</v>
      </c>
      <c r="G18" s="523">
        <v>0</v>
      </c>
      <c r="H18" s="523">
        <v>0</v>
      </c>
      <c r="I18" s="523">
        <v>0</v>
      </c>
      <c r="J18" s="523">
        <f t="shared" si="1"/>
        <v>0</v>
      </c>
      <c r="K18" s="523">
        <v>0</v>
      </c>
      <c r="L18" s="318">
        <v>0</v>
      </c>
    </row>
    <row r="19" spans="1:12" s="344" customFormat="1">
      <c r="A19" s="494">
        <v>14</v>
      </c>
      <c r="B19" s="486" t="s">
        <v>28</v>
      </c>
      <c r="C19" s="486">
        <v>0</v>
      </c>
      <c r="D19" s="487">
        <v>0</v>
      </c>
      <c r="E19" s="490">
        <v>0</v>
      </c>
      <c r="F19" s="487">
        <v>0</v>
      </c>
      <c r="G19" s="487">
        <v>9.9999999999999995E-7</v>
      </c>
      <c r="H19" s="487">
        <v>0</v>
      </c>
      <c r="I19" s="487">
        <f t="shared" si="3"/>
        <v>0</v>
      </c>
      <c r="J19" s="495">
        <f t="shared" si="1"/>
        <v>9.9999999999999995E-7</v>
      </c>
      <c r="K19" s="166">
        <v>0</v>
      </c>
      <c r="L19" s="166">
        <v>0</v>
      </c>
    </row>
    <row r="20" spans="1:12" s="344" customFormat="1">
      <c r="A20" s="494">
        <v>15</v>
      </c>
      <c r="B20" s="486" t="s">
        <v>10</v>
      </c>
      <c r="C20" s="486">
        <v>0</v>
      </c>
      <c r="D20" s="487">
        <v>0</v>
      </c>
      <c r="E20" s="490">
        <v>439</v>
      </c>
      <c r="F20" s="487">
        <v>2165</v>
      </c>
      <c r="G20" s="487">
        <v>421</v>
      </c>
      <c r="H20" s="487">
        <v>74.3</v>
      </c>
      <c r="I20" s="487">
        <f t="shared" si="3"/>
        <v>17.648456057007124</v>
      </c>
      <c r="J20" s="495">
        <f t="shared" si="1"/>
        <v>346.7</v>
      </c>
      <c r="K20" s="166">
        <v>495</v>
      </c>
      <c r="L20" s="166">
        <f t="shared" si="2"/>
        <v>22.86374133949192</v>
      </c>
    </row>
    <row r="21" spans="1:12" ht="15.75">
      <c r="A21" s="519">
        <v>16</v>
      </c>
      <c r="B21" s="519" t="s">
        <v>98</v>
      </c>
      <c r="C21" s="522">
        <v>0</v>
      </c>
      <c r="D21" s="523">
        <v>0</v>
      </c>
      <c r="E21" s="522">
        <v>0</v>
      </c>
      <c r="F21" s="523">
        <v>0</v>
      </c>
      <c r="G21" s="523">
        <v>0</v>
      </c>
      <c r="H21" s="523">
        <v>0</v>
      </c>
      <c r="I21" s="523">
        <v>0</v>
      </c>
      <c r="J21" s="523">
        <f t="shared" si="1"/>
        <v>0</v>
      </c>
      <c r="K21" s="523">
        <v>0</v>
      </c>
      <c r="L21" s="318">
        <v>0</v>
      </c>
    </row>
    <row r="22" spans="1:12" s="344" customFormat="1">
      <c r="A22" s="494">
        <v>17</v>
      </c>
      <c r="B22" s="486" t="s">
        <v>35</v>
      </c>
      <c r="C22" s="486">
        <v>1</v>
      </c>
      <c r="D22" s="487">
        <v>14.75</v>
      </c>
      <c r="E22" s="490">
        <v>2</v>
      </c>
      <c r="F22" s="487">
        <v>2.8</v>
      </c>
      <c r="G22" s="487">
        <v>0</v>
      </c>
      <c r="H22" s="487">
        <v>0</v>
      </c>
      <c r="I22" s="487">
        <v>0</v>
      </c>
      <c r="J22" s="495">
        <f t="shared" si="1"/>
        <v>0</v>
      </c>
      <c r="K22" s="166">
        <v>0</v>
      </c>
      <c r="L22" s="166">
        <v>0</v>
      </c>
    </row>
    <row r="23" spans="1:12" ht="15.75">
      <c r="A23" s="519">
        <v>18</v>
      </c>
      <c r="B23" s="519" t="s">
        <v>54</v>
      </c>
      <c r="C23" s="522">
        <v>0</v>
      </c>
      <c r="D23" s="523">
        <v>0</v>
      </c>
      <c r="E23" s="522">
        <v>35</v>
      </c>
      <c r="F23" s="523">
        <v>131</v>
      </c>
      <c r="G23" s="523">
        <v>90</v>
      </c>
      <c r="H23" s="523">
        <v>4</v>
      </c>
      <c r="I23" s="523">
        <f>H23/G23%</f>
        <v>4.4444444444444446</v>
      </c>
      <c r="J23" s="523">
        <f t="shared" si="1"/>
        <v>86</v>
      </c>
      <c r="K23" s="523">
        <v>90</v>
      </c>
      <c r="L23" s="318">
        <f t="shared" ref="L23:L25" si="4">K23/F23%</f>
        <v>68.702290076335871</v>
      </c>
    </row>
    <row r="24" spans="1:12" ht="15.75">
      <c r="A24" s="519">
        <v>19</v>
      </c>
      <c r="B24" s="519" t="s">
        <v>102</v>
      </c>
      <c r="C24" s="519">
        <v>1</v>
      </c>
      <c r="D24" s="520">
        <v>5.75</v>
      </c>
      <c r="E24" s="519">
        <v>10</v>
      </c>
      <c r="F24" s="520">
        <v>24.68</v>
      </c>
      <c r="G24" s="520">
        <v>0</v>
      </c>
      <c r="H24" s="520">
        <v>0</v>
      </c>
      <c r="I24" s="520">
        <v>0</v>
      </c>
      <c r="J24" s="520">
        <f t="shared" si="1"/>
        <v>0</v>
      </c>
      <c r="K24" s="520">
        <v>0</v>
      </c>
      <c r="L24" s="521">
        <v>0</v>
      </c>
    </row>
    <row r="25" spans="1:12" ht="15.75">
      <c r="A25" s="519">
        <v>20</v>
      </c>
      <c r="B25" s="519" t="s">
        <v>104</v>
      </c>
      <c r="C25" s="522">
        <v>0</v>
      </c>
      <c r="D25" s="523">
        <v>0</v>
      </c>
      <c r="E25" s="522">
        <v>21</v>
      </c>
      <c r="F25" s="523">
        <v>106.17</v>
      </c>
      <c r="G25" s="523">
        <v>5.83</v>
      </c>
      <c r="H25" s="523">
        <v>4.37</v>
      </c>
      <c r="I25" s="523">
        <f>H25/G25%</f>
        <v>74.957118353344768</v>
      </c>
      <c r="J25" s="523">
        <f t="shared" si="1"/>
        <v>1.46</v>
      </c>
      <c r="K25" s="318">
        <v>2.54</v>
      </c>
      <c r="L25" s="318">
        <f t="shared" si="4"/>
        <v>2.3923895639069417</v>
      </c>
    </row>
    <row r="26" spans="1:12" ht="15.75">
      <c r="A26" s="519">
        <v>21</v>
      </c>
      <c r="B26" s="519" t="s">
        <v>106</v>
      </c>
      <c r="C26" s="519">
        <v>0</v>
      </c>
      <c r="D26" s="520">
        <v>0</v>
      </c>
      <c r="E26" s="519">
        <v>0</v>
      </c>
      <c r="F26" s="520">
        <v>0</v>
      </c>
      <c r="G26" s="520">
        <v>0</v>
      </c>
      <c r="H26" s="520">
        <v>0</v>
      </c>
      <c r="I26" s="520">
        <v>0</v>
      </c>
      <c r="J26" s="520">
        <f t="shared" si="1"/>
        <v>0</v>
      </c>
      <c r="K26" s="520">
        <v>0</v>
      </c>
      <c r="L26" s="521">
        <v>0</v>
      </c>
    </row>
    <row r="27" spans="1:12" ht="15.75">
      <c r="A27" s="519">
        <v>22</v>
      </c>
      <c r="B27" s="519" t="s">
        <v>481</v>
      </c>
      <c r="C27" s="519">
        <v>0</v>
      </c>
      <c r="D27" s="520">
        <v>0</v>
      </c>
      <c r="E27" s="519">
        <v>0</v>
      </c>
      <c r="F27" s="520">
        <v>0</v>
      </c>
      <c r="G27" s="520">
        <v>0</v>
      </c>
      <c r="H27" s="520">
        <v>0</v>
      </c>
      <c r="I27" s="520">
        <v>0</v>
      </c>
      <c r="J27" s="520">
        <v>0</v>
      </c>
      <c r="K27" s="520">
        <v>0</v>
      </c>
      <c r="L27" s="521">
        <v>0</v>
      </c>
    </row>
    <row r="28" spans="1:12" ht="15.75">
      <c r="A28" s="519">
        <v>23</v>
      </c>
      <c r="B28" s="519" t="s">
        <v>59</v>
      </c>
      <c r="C28" s="519">
        <v>0</v>
      </c>
      <c r="D28" s="520">
        <v>0</v>
      </c>
      <c r="E28" s="519">
        <v>0</v>
      </c>
      <c r="F28" s="520">
        <v>0</v>
      </c>
      <c r="G28" s="520">
        <v>0</v>
      </c>
      <c r="H28" s="520">
        <v>0</v>
      </c>
      <c r="I28" s="520">
        <v>0</v>
      </c>
      <c r="J28" s="520">
        <v>0</v>
      </c>
      <c r="K28" s="520">
        <v>0</v>
      </c>
      <c r="L28" s="521">
        <v>0</v>
      </c>
    </row>
    <row r="29" spans="1:12">
      <c r="A29" s="795" t="s">
        <v>113</v>
      </c>
      <c r="B29" s="796" t="s">
        <v>13</v>
      </c>
      <c r="C29" s="796">
        <f t="shared" ref="C29:H29" si="5">SUM(C6:C28)</f>
        <v>4</v>
      </c>
      <c r="D29" s="797">
        <f t="shared" si="5"/>
        <v>32.75</v>
      </c>
      <c r="E29" s="968">
        <f t="shared" si="5"/>
        <v>636</v>
      </c>
      <c r="F29" s="797">
        <f t="shared" si="5"/>
        <v>3046.7600120000002</v>
      </c>
      <c r="G29" s="797">
        <f t="shared" si="5"/>
        <v>524.87000399999999</v>
      </c>
      <c r="H29" s="797">
        <f t="shared" si="5"/>
        <v>82.77</v>
      </c>
      <c r="I29" s="797">
        <f>H29/G29%</f>
        <v>15.769619023608747</v>
      </c>
      <c r="J29" s="858">
        <f t="shared" si="1"/>
        <v>442.10000400000001</v>
      </c>
      <c r="K29" s="884">
        <f>SUM(K6:K28)</f>
        <v>842.31</v>
      </c>
      <c r="L29" s="884">
        <f>K29/F29%</f>
        <v>27.646089507623483</v>
      </c>
    </row>
    <row r="30" spans="1:12" s="344" customFormat="1">
      <c r="A30" s="966">
        <v>1</v>
      </c>
      <c r="B30" s="677" t="s">
        <v>16</v>
      </c>
      <c r="C30" s="677">
        <v>27</v>
      </c>
      <c r="D30" s="678">
        <v>237.7</v>
      </c>
      <c r="E30" s="681">
        <v>333</v>
      </c>
      <c r="F30" s="678">
        <v>1999.51</v>
      </c>
      <c r="G30" s="678">
        <v>9.9999999999999995E-7</v>
      </c>
      <c r="H30" s="678">
        <v>0</v>
      </c>
      <c r="I30" s="678">
        <f t="shared" si="3"/>
        <v>0</v>
      </c>
      <c r="J30" s="967">
        <v>0</v>
      </c>
      <c r="K30" s="163">
        <v>143.43</v>
      </c>
      <c r="L30" s="163">
        <f>K30/F30%</f>
        <v>7.1732574480747786</v>
      </c>
    </row>
    <row r="31" spans="1:12">
      <c r="A31" s="969">
        <v>1</v>
      </c>
      <c r="B31" s="970" t="s">
        <v>110</v>
      </c>
      <c r="C31" s="970">
        <v>0</v>
      </c>
      <c r="D31" s="971">
        <v>0</v>
      </c>
      <c r="E31" s="972">
        <v>0</v>
      </c>
      <c r="F31" s="971">
        <v>0</v>
      </c>
      <c r="G31" s="678">
        <v>9.9999999999999995E-7</v>
      </c>
      <c r="H31" s="971">
        <v>0</v>
      </c>
      <c r="I31" s="678">
        <f t="shared" si="3"/>
        <v>0</v>
      </c>
      <c r="J31" s="967">
        <f t="shared" si="1"/>
        <v>9.9999999999999995E-7</v>
      </c>
      <c r="K31" s="163">
        <v>0</v>
      </c>
      <c r="L31" s="163">
        <v>0</v>
      </c>
    </row>
    <row r="32" spans="1:12">
      <c r="A32" s="802" t="s">
        <v>135</v>
      </c>
      <c r="B32" s="802" t="s">
        <v>13</v>
      </c>
      <c r="C32" s="802">
        <f>C31+C30+C29</f>
        <v>31</v>
      </c>
      <c r="D32" s="803">
        <f>SUM(D29:D31)</f>
        <v>270.45</v>
      </c>
      <c r="E32" s="802">
        <f>SUM(E29:E31)</f>
        <v>969</v>
      </c>
      <c r="F32" s="803">
        <f>SUM(F29:F31)</f>
        <v>5046.270012</v>
      </c>
      <c r="G32" s="803">
        <f>SUM(G29:G31)</f>
        <v>524.87000599999999</v>
      </c>
      <c r="H32" s="803">
        <f>SUM(H29:H31)</f>
        <v>82.77</v>
      </c>
      <c r="I32" s="797">
        <f>H32/G32%</f>
        <v>15.769618963519131</v>
      </c>
      <c r="J32" s="858">
        <f>SUM(J29:J31)</f>
        <v>442.10000500000001</v>
      </c>
      <c r="K32" s="858">
        <f>SUM(K29:K31)</f>
        <v>985.74</v>
      </c>
      <c r="L32" s="884">
        <f>K32/F32%</f>
        <v>19.534032020797859</v>
      </c>
    </row>
    <row r="33" spans="1:12">
      <c r="A33" s="1691" t="s">
        <v>241</v>
      </c>
      <c r="B33" s="1692"/>
      <c r="C33" s="802">
        <v>37</v>
      </c>
      <c r="D33" s="803">
        <v>274.87</v>
      </c>
      <c r="E33" s="802">
        <v>808</v>
      </c>
      <c r="F33" s="803">
        <v>3815.3400350000002</v>
      </c>
      <c r="G33" s="803">
        <v>445.23001399999998</v>
      </c>
      <c r="H33" s="803">
        <v>82.69</v>
      </c>
      <c r="I33" s="797">
        <v>18.572422657920811</v>
      </c>
      <c r="J33" s="858">
        <v>362.54001299999999</v>
      </c>
      <c r="K33" s="858">
        <v>658.94</v>
      </c>
      <c r="L33" s="884">
        <v>17.270806637290981</v>
      </c>
    </row>
  </sheetData>
  <mergeCells count="15">
    <mergeCell ref="A33:B33"/>
    <mergeCell ref="A1:L1"/>
    <mergeCell ref="A2:J2"/>
    <mergeCell ref="D3:G3"/>
    <mergeCell ref="J3:L3"/>
    <mergeCell ref="A4:A5"/>
    <mergeCell ref="B4:B5"/>
    <mergeCell ref="C4:D4"/>
    <mergeCell ref="E4:F4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B1" sqref="B1:G1"/>
    </sheetView>
  </sheetViews>
  <sheetFormatPr defaultRowHeight="15"/>
  <cols>
    <col min="1" max="1" width="5.85546875" customWidth="1"/>
    <col min="4" max="4" width="16" customWidth="1"/>
    <col min="5" max="5" width="17" customWidth="1"/>
    <col min="6" max="6" width="12" bestFit="1" customWidth="1"/>
    <col min="7" max="7" width="13.5703125" bestFit="1" customWidth="1"/>
  </cols>
  <sheetData>
    <row r="1" spans="1:7" ht="15.75">
      <c r="B1" s="1482">
        <v>74</v>
      </c>
      <c r="C1" s="1482"/>
      <c r="D1" s="1482"/>
      <c r="E1" s="1482"/>
      <c r="F1" s="1482"/>
      <c r="G1" s="1482"/>
    </row>
    <row r="2" spans="1:7" ht="15.75">
      <c r="B2" s="1531" t="s">
        <v>317</v>
      </c>
      <c r="C2" s="1531"/>
      <c r="D2" s="1531"/>
      <c r="E2" s="1531"/>
      <c r="F2" s="1531"/>
      <c r="G2" s="1531"/>
    </row>
    <row r="3" spans="1:7" ht="15.75">
      <c r="B3" s="1531" t="s">
        <v>564</v>
      </c>
      <c r="C3" s="1531"/>
      <c r="D3" s="1531"/>
      <c r="E3" s="1531"/>
      <c r="F3" s="1531"/>
      <c r="G3" s="1531"/>
    </row>
    <row r="4" spans="1:7">
      <c r="B4" s="171"/>
      <c r="C4" s="171"/>
      <c r="D4" s="171"/>
      <c r="E4" s="171"/>
      <c r="F4" s="171"/>
      <c r="G4" s="171"/>
    </row>
    <row r="5" spans="1:7" ht="60">
      <c r="B5" s="259" t="s">
        <v>130</v>
      </c>
      <c r="C5" s="259" t="s">
        <v>131</v>
      </c>
      <c r="D5" s="259" t="s">
        <v>318</v>
      </c>
      <c r="E5" s="259" t="s">
        <v>319</v>
      </c>
      <c r="F5" s="259" t="s">
        <v>320</v>
      </c>
      <c r="G5" s="259" t="s">
        <v>311</v>
      </c>
    </row>
    <row r="6" spans="1:7" s="344" customFormat="1" ht="16.5" customHeight="1">
      <c r="B6" s="491">
        <v>1</v>
      </c>
      <c r="C6" s="492" t="s">
        <v>78</v>
      </c>
      <c r="D6" s="492">
        <v>0</v>
      </c>
      <c r="E6" s="493">
        <v>0</v>
      </c>
      <c r="F6" s="492">
        <v>0</v>
      </c>
      <c r="G6" s="493">
        <v>0</v>
      </c>
    </row>
    <row r="7" spans="1:7" ht="15.75">
      <c r="A7" s="171"/>
      <c r="B7" s="491">
        <v>2</v>
      </c>
      <c r="C7" s="492" t="s">
        <v>27</v>
      </c>
      <c r="D7" s="492">
        <v>0</v>
      </c>
      <c r="E7" s="493">
        <v>0</v>
      </c>
      <c r="F7" s="492">
        <v>0</v>
      </c>
      <c r="G7" s="493">
        <v>0</v>
      </c>
    </row>
    <row r="8" spans="1:7" s="344" customFormat="1" ht="15.75">
      <c r="B8" s="491">
        <v>3</v>
      </c>
      <c r="C8" s="492" t="s">
        <v>46</v>
      </c>
      <c r="D8" s="492">
        <v>0</v>
      </c>
      <c r="E8" s="493">
        <v>0</v>
      </c>
      <c r="F8" s="492">
        <v>0</v>
      </c>
      <c r="G8" s="493">
        <v>0</v>
      </c>
    </row>
    <row r="9" spans="1:7" s="344" customFormat="1" ht="15.75">
      <c r="B9" s="491">
        <v>4</v>
      </c>
      <c r="C9" s="492" t="s">
        <v>32</v>
      </c>
      <c r="D9" s="492">
        <v>0</v>
      </c>
      <c r="E9" s="493">
        <v>0</v>
      </c>
      <c r="F9" s="492">
        <v>0</v>
      </c>
      <c r="G9" s="493">
        <v>0</v>
      </c>
    </row>
    <row r="10" spans="1:7" s="344" customFormat="1" ht="15.75">
      <c r="B10" s="491">
        <v>5</v>
      </c>
      <c r="C10" s="492" t="s">
        <v>83</v>
      </c>
      <c r="D10" s="492">
        <v>0</v>
      </c>
      <c r="E10" s="493">
        <v>0</v>
      </c>
      <c r="F10" s="492">
        <v>0</v>
      </c>
      <c r="G10" s="493">
        <v>0</v>
      </c>
    </row>
    <row r="11" spans="1:7" ht="15.75">
      <c r="B11" s="491">
        <v>6</v>
      </c>
      <c r="C11" s="492" t="s">
        <v>85</v>
      </c>
      <c r="D11" s="492">
        <v>0</v>
      </c>
      <c r="E11" s="493">
        <v>0</v>
      </c>
      <c r="F11" s="492">
        <v>0</v>
      </c>
      <c r="G11" s="493">
        <v>0</v>
      </c>
    </row>
    <row r="12" spans="1:7" s="344" customFormat="1" ht="15.75">
      <c r="B12" s="491">
        <v>7</v>
      </c>
      <c r="C12" s="492" t="s">
        <v>17</v>
      </c>
      <c r="D12" s="492">
        <v>0</v>
      </c>
      <c r="E12" s="493">
        <v>0</v>
      </c>
      <c r="F12" s="492">
        <v>0</v>
      </c>
      <c r="G12" s="493">
        <v>0</v>
      </c>
    </row>
    <row r="13" spans="1:7" s="344" customFormat="1" ht="15.75">
      <c r="B13" s="491">
        <v>8</v>
      </c>
      <c r="C13" s="492" t="s">
        <v>26</v>
      </c>
      <c r="D13" s="492">
        <v>0</v>
      </c>
      <c r="E13" s="493">
        <v>0</v>
      </c>
      <c r="F13" s="492">
        <v>0</v>
      </c>
      <c r="G13" s="493">
        <v>0</v>
      </c>
    </row>
    <row r="14" spans="1:7" s="344" customFormat="1" ht="15.75">
      <c r="B14" s="491">
        <v>9</v>
      </c>
      <c r="C14" s="492" t="s">
        <v>11</v>
      </c>
      <c r="D14" s="492">
        <v>0</v>
      </c>
      <c r="E14" s="493">
        <v>0</v>
      </c>
      <c r="F14" s="492">
        <v>0</v>
      </c>
      <c r="G14" s="493">
        <v>0</v>
      </c>
    </row>
    <row r="15" spans="1:7" s="344" customFormat="1" ht="15.75">
      <c r="B15" s="491">
        <v>10</v>
      </c>
      <c r="C15" s="492" t="s">
        <v>90</v>
      </c>
      <c r="D15" s="492">
        <v>0</v>
      </c>
      <c r="E15" s="493">
        <v>0</v>
      </c>
      <c r="F15" s="492">
        <v>0</v>
      </c>
      <c r="G15" s="493">
        <v>0</v>
      </c>
    </row>
    <row r="16" spans="1:7" s="344" customFormat="1" ht="15.75">
      <c r="B16" s="491">
        <v>11</v>
      </c>
      <c r="C16" s="492" t="s">
        <v>92</v>
      </c>
      <c r="D16" s="492">
        <v>1</v>
      </c>
      <c r="E16" s="493">
        <v>300</v>
      </c>
      <c r="F16" s="492">
        <v>2</v>
      </c>
      <c r="G16" s="493">
        <v>800.12</v>
      </c>
    </row>
    <row r="17" spans="2:7" s="344" customFormat="1" ht="15.75">
      <c r="B17" s="491">
        <v>12</v>
      </c>
      <c r="C17" s="492" t="s">
        <v>51</v>
      </c>
      <c r="D17" s="492">
        <v>0</v>
      </c>
      <c r="E17" s="493">
        <v>0</v>
      </c>
      <c r="F17" s="492">
        <v>0</v>
      </c>
      <c r="G17" s="493">
        <v>0</v>
      </c>
    </row>
    <row r="18" spans="2:7" s="344" customFormat="1" ht="15.75">
      <c r="B18" s="491">
        <v>13</v>
      </c>
      <c r="C18" s="492" t="s">
        <v>52</v>
      </c>
      <c r="D18" s="492">
        <v>0</v>
      </c>
      <c r="E18" s="493">
        <v>0</v>
      </c>
      <c r="F18" s="492">
        <v>0</v>
      </c>
      <c r="G18" s="493">
        <v>0</v>
      </c>
    </row>
    <row r="19" spans="2:7" s="344" customFormat="1" ht="15.75">
      <c r="B19" s="491">
        <v>14</v>
      </c>
      <c r="C19" s="492" t="s">
        <v>28</v>
      </c>
      <c r="D19" s="492">
        <v>0</v>
      </c>
      <c r="E19" s="493">
        <v>0</v>
      </c>
      <c r="F19" s="492">
        <v>0</v>
      </c>
      <c r="G19" s="493">
        <v>0</v>
      </c>
    </row>
    <row r="20" spans="2:7" ht="15.75">
      <c r="B20" s="491">
        <v>15</v>
      </c>
      <c r="C20" s="492" t="s">
        <v>10</v>
      </c>
      <c r="D20" s="492">
        <v>0</v>
      </c>
      <c r="E20" s="493">
        <v>0</v>
      </c>
      <c r="F20" s="492">
        <v>38</v>
      </c>
      <c r="G20" s="493">
        <v>194.09</v>
      </c>
    </row>
    <row r="21" spans="2:7" s="344" customFormat="1" ht="15.75">
      <c r="B21" s="491">
        <v>16</v>
      </c>
      <c r="C21" s="492" t="s">
        <v>98</v>
      </c>
      <c r="D21" s="492">
        <v>0</v>
      </c>
      <c r="E21" s="493">
        <v>0</v>
      </c>
      <c r="F21" s="492">
        <v>0</v>
      </c>
      <c r="G21" s="493">
        <v>0</v>
      </c>
    </row>
    <row r="22" spans="2:7" s="344" customFormat="1" ht="15.75">
      <c r="B22" s="491">
        <v>17</v>
      </c>
      <c r="C22" s="492" t="s">
        <v>35</v>
      </c>
      <c r="D22" s="492">
        <v>0</v>
      </c>
      <c r="E22" s="493">
        <v>0</v>
      </c>
      <c r="F22" s="492">
        <v>0</v>
      </c>
      <c r="G22" s="493">
        <v>0</v>
      </c>
    </row>
    <row r="23" spans="2:7" s="344" customFormat="1" ht="15.75">
      <c r="B23" s="491">
        <v>18</v>
      </c>
      <c r="C23" s="492" t="s">
        <v>54</v>
      </c>
      <c r="D23" s="492">
        <v>0</v>
      </c>
      <c r="E23" s="493">
        <v>0</v>
      </c>
      <c r="F23" s="492">
        <v>0</v>
      </c>
      <c r="G23" s="493">
        <v>0</v>
      </c>
    </row>
    <row r="24" spans="2:7" s="344" customFormat="1" ht="15.75">
      <c r="B24" s="491">
        <v>19</v>
      </c>
      <c r="C24" s="492" t="s">
        <v>102</v>
      </c>
      <c r="D24" s="492">
        <v>3</v>
      </c>
      <c r="E24" s="493">
        <v>10</v>
      </c>
      <c r="F24" s="492">
        <v>6</v>
      </c>
      <c r="G24" s="493">
        <v>12.32</v>
      </c>
    </row>
    <row r="25" spans="2:7" ht="15.75">
      <c r="B25" s="961">
        <v>20</v>
      </c>
      <c r="C25" s="962" t="s">
        <v>104</v>
      </c>
      <c r="D25" s="962">
        <v>0</v>
      </c>
      <c r="E25" s="963">
        <v>0</v>
      </c>
      <c r="F25" s="962">
        <v>1</v>
      </c>
      <c r="G25" s="963">
        <v>60</v>
      </c>
    </row>
    <row r="26" spans="2:7" s="344" customFormat="1" ht="15.75">
      <c r="B26" s="961">
        <v>21</v>
      </c>
      <c r="C26" s="962" t="s">
        <v>106</v>
      </c>
      <c r="D26" s="962">
        <v>0</v>
      </c>
      <c r="E26" s="963">
        <v>0</v>
      </c>
      <c r="F26" s="962">
        <v>0</v>
      </c>
      <c r="G26" s="963">
        <v>0</v>
      </c>
    </row>
    <row r="27" spans="2:7" s="344" customFormat="1" ht="15.75">
      <c r="B27" s="961">
        <v>22</v>
      </c>
      <c r="C27" s="962" t="s">
        <v>108</v>
      </c>
      <c r="D27" s="962">
        <v>0</v>
      </c>
      <c r="E27" s="963">
        <v>0</v>
      </c>
      <c r="F27" s="962">
        <v>0</v>
      </c>
      <c r="G27" s="963">
        <v>0</v>
      </c>
    </row>
    <row r="28" spans="2:7" s="344" customFormat="1" ht="15.75">
      <c r="B28" s="961">
        <v>23</v>
      </c>
      <c r="C28" s="962" t="s">
        <v>286</v>
      </c>
      <c r="D28" s="962">
        <v>0</v>
      </c>
      <c r="E28" s="963">
        <v>0</v>
      </c>
      <c r="F28" s="962">
        <v>0</v>
      </c>
      <c r="G28" s="963">
        <v>0</v>
      </c>
    </row>
    <row r="29" spans="2:7" ht="15.75">
      <c r="B29" s="964" t="s">
        <v>113</v>
      </c>
      <c r="C29" s="964" t="s">
        <v>13</v>
      </c>
      <c r="D29" s="964">
        <f>SUM(D6:D28)</f>
        <v>4</v>
      </c>
      <c r="E29" s="965">
        <f>SUM(E6:E28)</f>
        <v>310</v>
      </c>
      <c r="F29" s="964">
        <f>SUM(F6:F28)</f>
        <v>47</v>
      </c>
      <c r="G29" s="965">
        <f>SUM(G6:G28)</f>
        <v>1066.5300000000002</v>
      </c>
    </row>
    <row r="30" spans="2:7" s="344" customFormat="1" ht="15.75">
      <c r="B30" s="962">
        <v>1</v>
      </c>
      <c r="C30" s="962" t="s">
        <v>16</v>
      </c>
      <c r="D30" s="962">
        <v>0</v>
      </c>
      <c r="E30" s="963">
        <v>0</v>
      </c>
      <c r="F30" s="962">
        <v>0</v>
      </c>
      <c r="G30" s="963">
        <v>0</v>
      </c>
    </row>
    <row r="31" spans="2:7" ht="15.75">
      <c r="B31" s="962">
        <v>1</v>
      </c>
      <c r="C31" s="962" t="s">
        <v>110</v>
      </c>
      <c r="D31" s="962">
        <v>0</v>
      </c>
      <c r="E31" s="963">
        <v>0</v>
      </c>
      <c r="F31" s="962">
        <v>5</v>
      </c>
      <c r="G31" s="963">
        <v>331.62</v>
      </c>
    </row>
    <row r="32" spans="2:7" ht="15.75">
      <c r="B32" s="964" t="s">
        <v>135</v>
      </c>
      <c r="C32" s="964" t="s">
        <v>13</v>
      </c>
      <c r="D32" s="964">
        <f>SUM(D29:D31)</f>
        <v>4</v>
      </c>
      <c r="E32" s="965">
        <f>SUM(E29:E31)</f>
        <v>310</v>
      </c>
      <c r="F32" s="964">
        <f>SUM(F29:F31)</f>
        <v>52</v>
      </c>
      <c r="G32" s="965">
        <f>SUM(G29:G31)</f>
        <v>1398.15</v>
      </c>
    </row>
    <row r="33" spans="2:7">
      <c r="B33" s="240"/>
      <c r="C33" s="240"/>
      <c r="D33" s="240" t="s">
        <v>136</v>
      </c>
      <c r="E33" s="260"/>
      <c r="F33" s="240"/>
      <c r="G33" s="240"/>
    </row>
    <row r="34" spans="2:7" ht="15.75">
      <c r="B34" s="165"/>
      <c r="C34" s="492" t="s">
        <v>13</v>
      </c>
      <c r="D34" s="492">
        <v>4</v>
      </c>
      <c r="E34" s="493">
        <v>310</v>
      </c>
      <c r="F34" s="492">
        <v>40</v>
      </c>
      <c r="G34" s="493">
        <v>1474.35</v>
      </c>
    </row>
  </sheetData>
  <mergeCells count="3">
    <mergeCell ref="B1:G1"/>
    <mergeCell ref="B2:G2"/>
    <mergeCell ref="B3:G3"/>
  </mergeCells>
  <pageMargins left="0.7" right="0.7" top="0.75" bottom="0.75" header="0.3" footer="0.3"/>
  <pageSetup scale="105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S36"/>
  <sheetViews>
    <sheetView workbookViewId="0">
      <selection sqref="A1:S1"/>
    </sheetView>
  </sheetViews>
  <sheetFormatPr defaultRowHeight="15"/>
  <sheetData>
    <row r="1" spans="1:19">
      <c r="A1" s="1494">
        <v>75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  <c r="R1" s="1494"/>
      <c r="S1" s="1494"/>
    </row>
    <row r="2" spans="1:19" ht="18">
      <c r="C2" s="1583" t="s">
        <v>272</v>
      </c>
      <c r="D2" s="1583"/>
      <c r="E2" s="1583"/>
      <c r="F2" s="1583"/>
      <c r="G2" s="1583"/>
      <c r="H2" s="1583"/>
      <c r="I2" s="1583"/>
      <c r="J2" s="1583"/>
      <c r="K2" s="1583"/>
      <c r="L2" s="1583"/>
      <c r="M2" s="1583" t="s">
        <v>208</v>
      </c>
      <c r="N2" s="1583"/>
      <c r="O2" s="1583"/>
      <c r="P2" s="1583"/>
      <c r="Q2" s="1583"/>
      <c r="R2" s="1583"/>
      <c r="S2" s="1583"/>
    </row>
    <row r="3" spans="1:19" ht="18">
      <c r="G3" s="1584" t="s">
        <v>273</v>
      </c>
      <c r="H3" s="1584"/>
      <c r="I3" s="1584"/>
      <c r="J3" s="1584"/>
      <c r="Q3" s="233"/>
    </row>
    <row r="4" spans="1:19" ht="15.75">
      <c r="A4" s="1585" t="s">
        <v>274</v>
      </c>
      <c r="B4" s="1586" t="s">
        <v>275</v>
      </c>
      <c r="C4" s="1587" t="s">
        <v>276</v>
      </c>
      <c r="D4" s="1587"/>
      <c r="E4" s="1587"/>
      <c r="F4" s="1587"/>
      <c r="G4" s="1587" t="s">
        <v>277</v>
      </c>
      <c r="H4" s="1587"/>
      <c r="I4" s="1587"/>
      <c r="J4" s="1587"/>
      <c r="K4" s="1587"/>
      <c r="L4" s="1587"/>
      <c r="M4" s="1587"/>
      <c r="N4" s="1587"/>
      <c r="O4" s="1587"/>
      <c r="P4" s="1587"/>
      <c r="Q4" s="1587"/>
      <c r="R4" s="1587"/>
      <c r="S4" s="1587"/>
    </row>
    <row r="5" spans="1:19">
      <c r="A5" s="1585"/>
      <c r="B5" s="1586"/>
      <c r="C5" s="1588" t="s">
        <v>278</v>
      </c>
      <c r="D5" s="1588"/>
      <c r="E5" s="1588" t="s">
        <v>279</v>
      </c>
      <c r="F5" s="1588"/>
      <c r="G5" s="1554" t="s">
        <v>243</v>
      </c>
      <c r="H5" s="1582" t="s">
        <v>278</v>
      </c>
      <c r="I5" s="1582"/>
      <c r="J5" s="1582"/>
      <c r="K5" s="1582"/>
      <c r="L5" s="1582"/>
      <c r="M5" s="1582"/>
      <c r="N5" s="1582" t="s">
        <v>279</v>
      </c>
      <c r="O5" s="1582"/>
      <c r="P5" s="1582"/>
      <c r="Q5" s="1582"/>
      <c r="R5" s="1582"/>
      <c r="S5" s="1582"/>
    </row>
    <row r="6" spans="1:19">
      <c r="A6" s="1585"/>
      <c r="B6" s="1586"/>
      <c r="C6" s="1588"/>
      <c r="D6" s="1588"/>
      <c r="E6" s="1588"/>
      <c r="F6" s="1588"/>
      <c r="G6" s="1554"/>
      <c r="H6" s="1555" t="s">
        <v>280</v>
      </c>
      <c r="I6" s="1555"/>
      <c r="J6" s="1555" t="s">
        <v>281</v>
      </c>
      <c r="K6" s="1555"/>
      <c r="L6" s="1555" t="s">
        <v>13</v>
      </c>
      <c r="M6" s="1555"/>
      <c r="N6" s="1555" t="s">
        <v>280</v>
      </c>
      <c r="O6" s="1555"/>
      <c r="P6" s="1555" t="s">
        <v>281</v>
      </c>
      <c r="Q6" s="1555"/>
      <c r="R6" s="1555" t="s">
        <v>13</v>
      </c>
      <c r="S6" s="1555"/>
    </row>
    <row r="7" spans="1:19">
      <c r="A7" s="1585"/>
      <c r="B7" s="1586"/>
      <c r="C7" s="234" t="s">
        <v>282</v>
      </c>
      <c r="D7" s="235" t="s">
        <v>283</v>
      </c>
      <c r="E7" s="234" t="s">
        <v>282</v>
      </c>
      <c r="F7" s="236" t="s">
        <v>283</v>
      </c>
      <c r="G7" s="1554"/>
      <c r="H7" s="234" t="s">
        <v>282</v>
      </c>
      <c r="I7" s="234" t="s">
        <v>283</v>
      </c>
      <c r="J7" s="234" t="s">
        <v>282</v>
      </c>
      <c r="K7" s="234" t="s">
        <v>283</v>
      </c>
      <c r="L7" s="234" t="s">
        <v>282</v>
      </c>
      <c r="M7" s="234" t="s">
        <v>283</v>
      </c>
      <c r="N7" s="234" t="s">
        <v>282</v>
      </c>
      <c r="O7" s="234" t="s">
        <v>283</v>
      </c>
      <c r="P7" s="234" t="s">
        <v>282</v>
      </c>
      <c r="Q7" s="234" t="s">
        <v>283</v>
      </c>
      <c r="R7" s="234" t="s">
        <v>282</v>
      </c>
      <c r="S7" s="234" t="s">
        <v>283</v>
      </c>
    </row>
    <row r="8" spans="1:19" s="344" customFormat="1">
      <c r="A8" s="164">
        <v>1</v>
      </c>
      <c r="B8" s="165" t="s">
        <v>78</v>
      </c>
      <c r="C8" s="165">
        <v>0</v>
      </c>
      <c r="D8" s="166">
        <v>0</v>
      </c>
      <c r="E8" s="165">
        <v>0</v>
      </c>
      <c r="F8" s="166">
        <v>0</v>
      </c>
      <c r="G8" s="164">
        <v>1</v>
      </c>
      <c r="H8" s="165">
        <v>0</v>
      </c>
      <c r="I8" s="166">
        <v>0</v>
      </c>
      <c r="J8" s="165">
        <v>0</v>
      </c>
      <c r="K8" s="166">
        <v>0</v>
      </c>
      <c r="L8" s="165">
        <f t="shared" ref="L8:M28" si="0">J8+H8</f>
        <v>0</v>
      </c>
      <c r="M8" s="166">
        <f t="shared" si="0"/>
        <v>0</v>
      </c>
      <c r="N8" s="165">
        <v>0</v>
      </c>
      <c r="O8" s="166">
        <v>0</v>
      </c>
      <c r="P8" s="165">
        <v>0</v>
      </c>
      <c r="Q8" s="166">
        <v>0</v>
      </c>
      <c r="R8" s="165">
        <f t="shared" ref="R8:S28" si="1">P8+N8</f>
        <v>0</v>
      </c>
      <c r="S8" s="166">
        <f t="shared" si="1"/>
        <v>0</v>
      </c>
    </row>
    <row r="9" spans="1:19" s="344" customFormat="1">
      <c r="A9" s="164">
        <v>2</v>
      </c>
      <c r="B9" s="165" t="s">
        <v>27</v>
      </c>
      <c r="C9" s="165">
        <v>0</v>
      </c>
      <c r="D9" s="166">
        <v>0</v>
      </c>
      <c r="E9" s="165">
        <v>0</v>
      </c>
      <c r="F9" s="166">
        <v>0</v>
      </c>
      <c r="G9" s="164">
        <v>3</v>
      </c>
      <c r="H9" s="165">
        <v>0</v>
      </c>
      <c r="I9" s="166">
        <v>0</v>
      </c>
      <c r="J9" s="165">
        <v>0</v>
      </c>
      <c r="K9" s="166">
        <v>0</v>
      </c>
      <c r="L9" s="165">
        <f t="shared" si="0"/>
        <v>0</v>
      </c>
      <c r="M9" s="166">
        <f t="shared" si="0"/>
        <v>0</v>
      </c>
      <c r="N9" s="165">
        <v>0</v>
      </c>
      <c r="O9" s="166">
        <v>0</v>
      </c>
      <c r="P9" s="165">
        <v>0</v>
      </c>
      <c r="Q9" s="166">
        <v>0</v>
      </c>
      <c r="R9" s="165">
        <f t="shared" si="1"/>
        <v>0</v>
      </c>
      <c r="S9" s="166">
        <f t="shared" si="1"/>
        <v>0</v>
      </c>
    </row>
    <row r="10" spans="1:19" s="344" customFormat="1">
      <c r="A10" s="164">
        <v>3</v>
      </c>
      <c r="B10" s="165" t="s">
        <v>46</v>
      </c>
      <c r="C10" s="165">
        <v>0</v>
      </c>
      <c r="D10" s="166">
        <v>0</v>
      </c>
      <c r="E10" s="165">
        <v>0</v>
      </c>
      <c r="F10" s="166">
        <v>0</v>
      </c>
      <c r="G10" s="164">
        <v>1</v>
      </c>
      <c r="H10" s="165">
        <v>0</v>
      </c>
      <c r="I10" s="166">
        <v>0</v>
      </c>
      <c r="J10" s="165">
        <v>0</v>
      </c>
      <c r="K10" s="166">
        <v>0</v>
      </c>
      <c r="L10" s="165">
        <f t="shared" si="0"/>
        <v>0</v>
      </c>
      <c r="M10" s="166">
        <f t="shared" si="0"/>
        <v>0</v>
      </c>
      <c r="N10" s="165">
        <v>0</v>
      </c>
      <c r="O10" s="166">
        <v>0</v>
      </c>
      <c r="P10" s="165">
        <v>0</v>
      </c>
      <c r="Q10" s="166">
        <v>0</v>
      </c>
      <c r="R10" s="165">
        <f t="shared" si="1"/>
        <v>0</v>
      </c>
      <c r="S10" s="166">
        <f t="shared" si="1"/>
        <v>0</v>
      </c>
    </row>
    <row r="11" spans="1:19" s="344" customFormat="1">
      <c r="A11" s="164">
        <v>4</v>
      </c>
      <c r="B11" s="165" t="s">
        <v>32</v>
      </c>
      <c r="C11" s="165">
        <v>14</v>
      </c>
      <c r="D11" s="166">
        <v>0.14000000000000001</v>
      </c>
      <c r="E11" s="165">
        <v>15</v>
      </c>
      <c r="F11" s="166">
        <v>2.4500000000000002</v>
      </c>
      <c r="G11" s="164">
        <v>2</v>
      </c>
      <c r="H11" s="165">
        <v>0</v>
      </c>
      <c r="I11" s="166">
        <v>0</v>
      </c>
      <c r="J11" s="165">
        <v>0</v>
      </c>
      <c r="K11" s="166">
        <v>0</v>
      </c>
      <c r="L11" s="165">
        <v>0</v>
      </c>
      <c r="M11" s="166">
        <v>0</v>
      </c>
      <c r="N11" s="165">
        <v>0</v>
      </c>
      <c r="O11" s="166">
        <v>0</v>
      </c>
      <c r="P11" s="165">
        <v>1</v>
      </c>
      <c r="Q11" s="166">
        <v>0.12</v>
      </c>
      <c r="R11" s="165">
        <f>N11+P11</f>
        <v>1</v>
      </c>
      <c r="S11" s="166">
        <f>O11+Q11</f>
        <v>0.12</v>
      </c>
    </row>
    <row r="12" spans="1:19" s="344" customFormat="1">
      <c r="A12" s="164">
        <v>5</v>
      </c>
      <c r="B12" s="165" t="s">
        <v>83</v>
      </c>
      <c r="C12" s="165">
        <v>0</v>
      </c>
      <c r="D12" s="166">
        <v>0</v>
      </c>
      <c r="E12" s="165">
        <v>0</v>
      </c>
      <c r="F12" s="166">
        <v>0</v>
      </c>
      <c r="G12" s="164">
        <v>1</v>
      </c>
      <c r="H12" s="165">
        <v>0</v>
      </c>
      <c r="I12" s="166">
        <v>0</v>
      </c>
      <c r="J12" s="165">
        <v>0</v>
      </c>
      <c r="K12" s="166">
        <v>0</v>
      </c>
      <c r="L12" s="165">
        <f t="shared" si="0"/>
        <v>0</v>
      </c>
      <c r="M12" s="166">
        <f t="shared" si="0"/>
        <v>0</v>
      </c>
      <c r="N12" s="165">
        <v>0</v>
      </c>
      <c r="O12" s="166">
        <v>0</v>
      </c>
      <c r="P12" s="165">
        <v>1</v>
      </c>
      <c r="Q12" s="166">
        <v>5.47</v>
      </c>
      <c r="R12" s="165">
        <f t="shared" si="1"/>
        <v>1</v>
      </c>
      <c r="S12" s="166">
        <f t="shared" si="1"/>
        <v>5.47</v>
      </c>
    </row>
    <row r="13" spans="1:19" s="741" customFormat="1">
      <c r="A13" s="765">
        <v>6</v>
      </c>
      <c r="B13" s="766" t="s">
        <v>85</v>
      </c>
      <c r="C13" s="767">
        <v>1</v>
      </c>
      <c r="D13" s="754">
        <v>3.3</v>
      </c>
      <c r="E13" s="767">
        <v>1</v>
      </c>
      <c r="F13" s="754">
        <v>3.3</v>
      </c>
      <c r="G13" s="768">
        <v>6</v>
      </c>
      <c r="H13" s="767">
        <v>0</v>
      </c>
      <c r="I13" s="754">
        <v>0</v>
      </c>
      <c r="J13" s="767">
        <v>0</v>
      </c>
      <c r="K13" s="754">
        <v>0</v>
      </c>
      <c r="L13" s="767">
        <f t="shared" si="0"/>
        <v>0</v>
      </c>
      <c r="M13" s="754">
        <f t="shared" si="0"/>
        <v>0</v>
      </c>
      <c r="N13" s="767">
        <v>0</v>
      </c>
      <c r="O13" s="754">
        <v>0</v>
      </c>
      <c r="P13" s="767">
        <v>0</v>
      </c>
      <c r="Q13" s="754">
        <v>0</v>
      </c>
      <c r="R13" s="767">
        <f t="shared" si="1"/>
        <v>0</v>
      </c>
      <c r="S13" s="754">
        <f t="shared" si="1"/>
        <v>0</v>
      </c>
    </row>
    <row r="14" spans="1:19" s="741" customFormat="1">
      <c r="A14" s="765">
        <v>7</v>
      </c>
      <c r="B14" s="766" t="s">
        <v>17</v>
      </c>
      <c r="C14" s="767">
        <v>0</v>
      </c>
      <c r="D14" s="754">
        <v>0</v>
      </c>
      <c r="E14" s="767">
        <v>80</v>
      </c>
      <c r="F14" s="754">
        <v>2.1</v>
      </c>
      <c r="G14" s="768">
        <v>5</v>
      </c>
      <c r="H14" s="767">
        <v>0</v>
      </c>
      <c r="I14" s="754">
        <v>0</v>
      </c>
      <c r="J14" s="767">
        <v>0</v>
      </c>
      <c r="K14" s="754">
        <v>0</v>
      </c>
      <c r="L14" s="767">
        <f t="shared" si="0"/>
        <v>0</v>
      </c>
      <c r="M14" s="754">
        <f t="shared" si="0"/>
        <v>0</v>
      </c>
      <c r="N14" s="767">
        <v>0</v>
      </c>
      <c r="O14" s="754">
        <v>0</v>
      </c>
      <c r="P14" s="767">
        <v>6</v>
      </c>
      <c r="Q14" s="754">
        <v>5.98</v>
      </c>
      <c r="R14" s="767">
        <f t="shared" si="1"/>
        <v>6</v>
      </c>
      <c r="S14" s="754">
        <f t="shared" si="1"/>
        <v>5.98</v>
      </c>
    </row>
    <row r="15" spans="1:19" s="344" customFormat="1">
      <c r="A15" s="168">
        <v>8</v>
      </c>
      <c r="B15" s="169" t="s">
        <v>26</v>
      </c>
      <c r="C15" s="169">
        <v>0</v>
      </c>
      <c r="D15" s="170">
        <v>0</v>
      </c>
      <c r="E15" s="169">
        <v>0</v>
      </c>
      <c r="F15" s="170">
        <v>0</v>
      </c>
      <c r="G15" s="168">
        <v>3</v>
      </c>
      <c r="H15" s="169">
        <v>0</v>
      </c>
      <c r="I15" s="170">
        <v>0</v>
      </c>
      <c r="J15" s="169">
        <v>0</v>
      </c>
      <c r="K15" s="170">
        <v>0</v>
      </c>
      <c r="L15" s="169">
        <f t="shared" si="0"/>
        <v>0</v>
      </c>
      <c r="M15" s="170">
        <f t="shared" si="0"/>
        <v>0</v>
      </c>
      <c r="N15" s="169">
        <v>0</v>
      </c>
      <c r="O15" s="170">
        <v>0</v>
      </c>
      <c r="P15" s="169">
        <v>0</v>
      </c>
      <c r="Q15" s="170">
        <v>0</v>
      </c>
      <c r="R15" s="169">
        <f t="shared" si="1"/>
        <v>0</v>
      </c>
      <c r="S15" s="170">
        <f t="shared" si="1"/>
        <v>0</v>
      </c>
    </row>
    <row r="16" spans="1:19" s="344" customFormat="1">
      <c r="A16" s="164">
        <v>9</v>
      </c>
      <c r="B16" s="165" t="s">
        <v>11</v>
      </c>
      <c r="C16" s="165">
        <v>0</v>
      </c>
      <c r="D16" s="166">
        <v>0</v>
      </c>
      <c r="E16" s="165">
        <v>0</v>
      </c>
      <c r="F16" s="166">
        <v>0</v>
      </c>
      <c r="G16" s="164">
        <v>3</v>
      </c>
      <c r="H16" s="165">
        <v>0</v>
      </c>
      <c r="I16" s="166">
        <v>0</v>
      </c>
      <c r="J16" s="165">
        <v>0</v>
      </c>
      <c r="K16" s="166">
        <v>0</v>
      </c>
      <c r="L16" s="165">
        <f t="shared" si="0"/>
        <v>0</v>
      </c>
      <c r="M16" s="166">
        <f t="shared" si="0"/>
        <v>0</v>
      </c>
      <c r="N16" s="165">
        <v>0</v>
      </c>
      <c r="O16" s="166">
        <v>0</v>
      </c>
      <c r="P16" s="165">
        <v>0</v>
      </c>
      <c r="Q16" s="166">
        <v>0</v>
      </c>
      <c r="R16" s="165">
        <f t="shared" si="1"/>
        <v>0</v>
      </c>
      <c r="S16" s="166">
        <f t="shared" si="1"/>
        <v>0</v>
      </c>
    </row>
    <row r="17" spans="1:19" s="344" customFormat="1">
      <c r="A17" s="164">
        <v>10</v>
      </c>
      <c r="B17" s="165" t="s">
        <v>90</v>
      </c>
      <c r="C17" s="165">
        <v>0</v>
      </c>
      <c r="D17" s="166">
        <v>0</v>
      </c>
      <c r="E17" s="165">
        <v>0</v>
      </c>
      <c r="F17" s="166">
        <v>0</v>
      </c>
      <c r="G17" s="164">
        <v>1</v>
      </c>
      <c r="H17" s="165">
        <v>0</v>
      </c>
      <c r="I17" s="166">
        <v>0</v>
      </c>
      <c r="J17" s="165">
        <v>0</v>
      </c>
      <c r="K17" s="166">
        <v>0</v>
      </c>
      <c r="L17" s="165">
        <f t="shared" si="0"/>
        <v>0</v>
      </c>
      <c r="M17" s="166">
        <f t="shared" si="0"/>
        <v>0</v>
      </c>
      <c r="N17" s="165">
        <v>0</v>
      </c>
      <c r="O17" s="166">
        <v>0</v>
      </c>
      <c r="P17" s="165">
        <v>0</v>
      </c>
      <c r="Q17" s="166">
        <v>0</v>
      </c>
      <c r="R17" s="165">
        <f t="shared" si="1"/>
        <v>0</v>
      </c>
      <c r="S17" s="166">
        <f t="shared" si="1"/>
        <v>0</v>
      </c>
    </row>
    <row r="18" spans="1:19" s="344" customFormat="1">
      <c r="A18" s="164">
        <v>11</v>
      </c>
      <c r="B18" s="165" t="s">
        <v>284</v>
      </c>
      <c r="C18" s="165">
        <v>0</v>
      </c>
      <c r="D18" s="166">
        <v>0</v>
      </c>
      <c r="E18" s="165">
        <v>0</v>
      </c>
      <c r="F18" s="166">
        <v>0</v>
      </c>
      <c r="G18" s="164">
        <v>1</v>
      </c>
      <c r="H18" s="165">
        <v>0</v>
      </c>
      <c r="I18" s="166">
        <v>0</v>
      </c>
      <c r="J18" s="165">
        <v>0</v>
      </c>
      <c r="K18" s="166">
        <v>0</v>
      </c>
      <c r="L18" s="165">
        <f t="shared" si="0"/>
        <v>0</v>
      </c>
      <c r="M18" s="166">
        <f t="shared" si="0"/>
        <v>0</v>
      </c>
      <c r="N18" s="165">
        <v>0</v>
      </c>
      <c r="O18" s="166">
        <v>0</v>
      </c>
      <c r="P18" s="165">
        <v>0</v>
      </c>
      <c r="Q18" s="166">
        <v>0</v>
      </c>
      <c r="R18" s="165">
        <f t="shared" si="1"/>
        <v>0</v>
      </c>
      <c r="S18" s="166">
        <f t="shared" si="1"/>
        <v>0</v>
      </c>
    </row>
    <row r="19" spans="1:19" s="344" customFormat="1">
      <c r="A19" s="164">
        <v>12</v>
      </c>
      <c r="B19" s="165" t="s">
        <v>51</v>
      </c>
      <c r="C19" s="165">
        <v>0</v>
      </c>
      <c r="D19" s="166">
        <v>0</v>
      </c>
      <c r="E19" s="165">
        <v>0</v>
      </c>
      <c r="F19" s="166">
        <v>0</v>
      </c>
      <c r="G19" s="164">
        <v>1</v>
      </c>
      <c r="H19" s="165">
        <v>0</v>
      </c>
      <c r="I19" s="166">
        <v>0</v>
      </c>
      <c r="J19" s="165">
        <v>0</v>
      </c>
      <c r="K19" s="166">
        <v>0</v>
      </c>
      <c r="L19" s="165">
        <f t="shared" si="0"/>
        <v>0</v>
      </c>
      <c r="M19" s="166">
        <f t="shared" si="0"/>
        <v>0</v>
      </c>
      <c r="N19" s="165">
        <v>0</v>
      </c>
      <c r="O19" s="166">
        <v>0</v>
      </c>
      <c r="P19" s="165">
        <v>0</v>
      </c>
      <c r="Q19" s="166">
        <v>0</v>
      </c>
      <c r="R19" s="165">
        <f t="shared" si="1"/>
        <v>0</v>
      </c>
      <c r="S19" s="166">
        <f t="shared" si="1"/>
        <v>0</v>
      </c>
    </row>
    <row r="20" spans="1:19" s="344" customFormat="1">
      <c r="A20" s="164">
        <v>13</v>
      </c>
      <c r="B20" s="165" t="s">
        <v>52</v>
      </c>
      <c r="C20" s="165">
        <v>0</v>
      </c>
      <c r="D20" s="166">
        <v>0</v>
      </c>
      <c r="E20" s="165">
        <v>3</v>
      </c>
      <c r="F20" s="166">
        <v>0.03</v>
      </c>
      <c r="G20" s="164">
        <v>1</v>
      </c>
      <c r="H20" s="165">
        <v>0</v>
      </c>
      <c r="I20" s="166">
        <v>0</v>
      </c>
      <c r="J20" s="165">
        <v>0</v>
      </c>
      <c r="K20" s="166">
        <v>0</v>
      </c>
      <c r="L20" s="165">
        <f t="shared" si="0"/>
        <v>0</v>
      </c>
      <c r="M20" s="166">
        <f t="shared" si="0"/>
        <v>0</v>
      </c>
      <c r="N20" s="165">
        <v>0</v>
      </c>
      <c r="O20" s="166">
        <v>0</v>
      </c>
      <c r="P20" s="165">
        <v>1</v>
      </c>
      <c r="Q20" s="166">
        <v>0.93</v>
      </c>
      <c r="R20" s="165">
        <f t="shared" si="1"/>
        <v>1</v>
      </c>
      <c r="S20" s="166">
        <f t="shared" si="1"/>
        <v>0.93</v>
      </c>
    </row>
    <row r="21" spans="1:19" s="344" customFormat="1">
      <c r="A21" s="164">
        <v>14</v>
      </c>
      <c r="B21" s="165" t="s">
        <v>28</v>
      </c>
      <c r="C21" s="165">
        <v>5</v>
      </c>
      <c r="D21" s="166">
        <v>0.12</v>
      </c>
      <c r="E21" s="165">
        <v>23</v>
      </c>
      <c r="F21" s="166">
        <v>0.7</v>
      </c>
      <c r="G21" s="164">
        <v>1</v>
      </c>
      <c r="H21" s="165">
        <v>0</v>
      </c>
      <c r="I21" s="166">
        <v>0</v>
      </c>
      <c r="J21" s="165">
        <v>2</v>
      </c>
      <c r="K21" s="166">
        <v>0.1</v>
      </c>
      <c r="L21" s="165">
        <v>2</v>
      </c>
      <c r="M21" s="166">
        <f t="shared" si="0"/>
        <v>0.1</v>
      </c>
      <c r="N21" s="165">
        <v>0</v>
      </c>
      <c r="O21" s="166">
        <v>0</v>
      </c>
      <c r="P21" s="165">
        <v>66</v>
      </c>
      <c r="Q21" s="166">
        <v>64.58</v>
      </c>
      <c r="R21" s="165">
        <f>P21+N21</f>
        <v>66</v>
      </c>
      <c r="S21" s="166">
        <f>Q21+O21</f>
        <v>64.58</v>
      </c>
    </row>
    <row r="22" spans="1:19" s="344" customFormat="1">
      <c r="A22" s="168">
        <v>15</v>
      </c>
      <c r="B22" s="169" t="s">
        <v>10</v>
      </c>
      <c r="C22" s="169">
        <v>0</v>
      </c>
      <c r="D22" s="170">
        <v>0</v>
      </c>
      <c r="E22" s="169">
        <v>0</v>
      </c>
      <c r="F22" s="170">
        <v>0</v>
      </c>
      <c r="G22" s="168">
        <v>39</v>
      </c>
      <c r="H22" s="169">
        <v>0</v>
      </c>
      <c r="I22" s="170">
        <v>0</v>
      </c>
      <c r="J22" s="169">
        <v>0</v>
      </c>
      <c r="K22" s="170">
        <v>0</v>
      </c>
      <c r="L22" s="169">
        <v>0</v>
      </c>
      <c r="M22" s="170">
        <f t="shared" si="0"/>
        <v>0</v>
      </c>
      <c r="N22" s="169">
        <v>16</v>
      </c>
      <c r="O22" s="170">
        <v>22.25</v>
      </c>
      <c r="P22" s="169">
        <v>630</v>
      </c>
      <c r="Q22" s="170">
        <v>145.97</v>
      </c>
      <c r="R22" s="169">
        <f t="shared" si="1"/>
        <v>646</v>
      </c>
      <c r="S22" s="170">
        <f t="shared" si="1"/>
        <v>168.22</v>
      </c>
    </row>
    <row r="23" spans="1:19" s="344" customFormat="1">
      <c r="A23" s="164">
        <v>16</v>
      </c>
      <c r="B23" s="165" t="s">
        <v>53</v>
      </c>
      <c r="C23" s="165">
        <v>6</v>
      </c>
      <c r="D23" s="166">
        <v>0.73</v>
      </c>
      <c r="E23" s="165">
        <v>45</v>
      </c>
      <c r="F23" s="166">
        <v>2.2799999999999998</v>
      </c>
      <c r="G23" s="164">
        <v>1</v>
      </c>
      <c r="H23" s="165">
        <v>0</v>
      </c>
      <c r="I23" s="166">
        <v>0</v>
      </c>
      <c r="J23" s="165">
        <v>5</v>
      </c>
      <c r="K23" s="166">
        <v>18</v>
      </c>
      <c r="L23" s="165">
        <f t="shared" si="0"/>
        <v>5</v>
      </c>
      <c r="M23" s="166">
        <f t="shared" si="0"/>
        <v>18</v>
      </c>
      <c r="N23" s="165">
        <v>0</v>
      </c>
      <c r="O23" s="166">
        <v>0</v>
      </c>
      <c r="P23" s="165">
        <v>6</v>
      </c>
      <c r="Q23" s="166">
        <v>15.94</v>
      </c>
      <c r="R23" s="165">
        <f t="shared" si="1"/>
        <v>6</v>
      </c>
      <c r="S23" s="166">
        <f t="shared" si="1"/>
        <v>15.94</v>
      </c>
    </row>
    <row r="24" spans="1:19" s="344" customFormat="1">
      <c r="A24" s="164">
        <v>17</v>
      </c>
      <c r="B24" s="165" t="s">
        <v>35</v>
      </c>
      <c r="C24" s="165">
        <v>15</v>
      </c>
      <c r="D24" s="166">
        <v>1.36</v>
      </c>
      <c r="E24" s="165">
        <v>33</v>
      </c>
      <c r="F24" s="166">
        <v>2.0099999999999998</v>
      </c>
      <c r="G24" s="164">
        <v>2</v>
      </c>
      <c r="H24" s="165">
        <v>0</v>
      </c>
      <c r="I24" s="166">
        <v>0</v>
      </c>
      <c r="J24" s="165">
        <v>0</v>
      </c>
      <c r="K24" s="166">
        <v>0</v>
      </c>
      <c r="L24" s="165">
        <f t="shared" si="0"/>
        <v>0</v>
      </c>
      <c r="M24" s="166">
        <f t="shared" si="0"/>
        <v>0</v>
      </c>
      <c r="N24" s="165">
        <v>14</v>
      </c>
      <c r="O24" s="166">
        <v>16.850000000000001</v>
      </c>
      <c r="P24" s="165">
        <v>328</v>
      </c>
      <c r="Q24" s="166">
        <v>46.28</v>
      </c>
      <c r="R24" s="165">
        <f t="shared" si="1"/>
        <v>342</v>
      </c>
      <c r="S24" s="166">
        <v>33.840000000000003</v>
      </c>
    </row>
    <row r="25" spans="1:19" s="344" customFormat="1">
      <c r="A25" s="164">
        <v>18</v>
      </c>
      <c r="B25" s="165" t="s">
        <v>54</v>
      </c>
      <c r="C25" s="165">
        <v>0</v>
      </c>
      <c r="D25" s="166">
        <v>0</v>
      </c>
      <c r="E25" s="165">
        <v>1</v>
      </c>
      <c r="F25" s="166">
        <v>0.11</v>
      </c>
      <c r="G25" s="164">
        <v>1</v>
      </c>
      <c r="H25" s="165">
        <v>0</v>
      </c>
      <c r="I25" s="166">
        <v>0</v>
      </c>
      <c r="J25" s="165">
        <v>0</v>
      </c>
      <c r="K25" s="166">
        <v>0</v>
      </c>
      <c r="L25" s="165">
        <f t="shared" si="0"/>
        <v>0</v>
      </c>
      <c r="M25" s="166">
        <f t="shared" si="0"/>
        <v>0</v>
      </c>
      <c r="N25" s="165">
        <v>3</v>
      </c>
      <c r="O25" s="166">
        <v>0.59</v>
      </c>
      <c r="P25" s="165">
        <v>2</v>
      </c>
      <c r="Q25" s="166">
        <v>0.12</v>
      </c>
      <c r="R25" s="165">
        <f t="shared" si="1"/>
        <v>5</v>
      </c>
      <c r="S25" s="166">
        <f t="shared" si="1"/>
        <v>0.71</v>
      </c>
    </row>
    <row r="26" spans="1:19" s="344" customFormat="1">
      <c r="A26" s="164">
        <v>19</v>
      </c>
      <c r="B26" s="165" t="s">
        <v>285</v>
      </c>
      <c r="C26" s="165">
        <v>0</v>
      </c>
      <c r="D26" s="166">
        <v>0</v>
      </c>
      <c r="E26" s="165">
        <v>0</v>
      </c>
      <c r="F26" s="166">
        <v>0</v>
      </c>
      <c r="G26" s="164">
        <v>1</v>
      </c>
      <c r="H26" s="165">
        <v>0</v>
      </c>
      <c r="I26" s="166">
        <v>0</v>
      </c>
      <c r="J26" s="165">
        <v>0</v>
      </c>
      <c r="K26" s="166">
        <v>0</v>
      </c>
      <c r="L26" s="165">
        <f t="shared" si="0"/>
        <v>0</v>
      </c>
      <c r="M26" s="166">
        <f t="shared" si="0"/>
        <v>0</v>
      </c>
      <c r="N26" s="165">
        <v>0</v>
      </c>
      <c r="O26" s="166">
        <v>0</v>
      </c>
      <c r="P26" s="165">
        <v>0</v>
      </c>
      <c r="Q26" s="166">
        <v>0</v>
      </c>
      <c r="R26" s="165">
        <f t="shared" si="1"/>
        <v>0</v>
      </c>
      <c r="S26" s="166">
        <f t="shared" si="1"/>
        <v>0</v>
      </c>
    </row>
    <row r="27" spans="1:19" s="741" customFormat="1">
      <c r="A27" s="765">
        <v>20</v>
      </c>
      <c r="B27" s="766" t="s">
        <v>23</v>
      </c>
      <c r="C27" s="767">
        <v>12</v>
      </c>
      <c r="D27" s="754">
        <v>20.69</v>
      </c>
      <c r="E27" s="767">
        <v>31</v>
      </c>
      <c r="F27" s="754">
        <v>22.81</v>
      </c>
      <c r="G27" s="768">
        <v>4</v>
      </c>
      <c r="H27" s="767">
        <v>0</v>
      </c>
      <c r="I27" s="754">
        <v>0</v>
      </c>
      <c r="J27" s="767">
        <v>2</v>
      </c>
      <c r="K27" s="754">
        <v>6.11</v>
      </c>
      <c r="L27" s="767">
        <f t="shared" si="0"/>
        <v>2</v>
      </c>
      <c r="M27" s="754">
        <f t="shared" si="0"/>
        <v>6.11</v>
      </c>
      <c r="N27" s="767">
        <v>0</v>
      </c>
      <c r="O27" s="754">
        <v>0</v>
      </c>
      <c r="P27" s="767">
        <v>4</v>
      </c>
      <c r="Q27" s="754">
        <v>7.75</v>
      </c>
      <c r="R27" s="767">
        <f t="shared" si="1"/>
        <v>4</v>
      </c>
      <c r="S27" s="754">
        <f t="shared" si="1"/>
        <v>7.75</v>
      </c>
    </row>
    <row r="28" spans="1:19" s="344" customFormat="1">
      <c r="A28" s="164">
        <v>21</v>
      </c>
      <c r="B28" s="165" t="s">
        <v>106</v>
      </c>
      <c r="C28" s="165">
        <v>0</v>
      </c>
      <c r="D28" s="166">
        <v>0</v>
      </c>
      <c r="E28" s="165">
        <v>0</v>
      </c>
      <c r="F28" s="166">
        <v>0</v>
      </c>
      <c r="G28" s="164">
        <v>1</v>
      </c>
      <c r="H28" s="165">
        <v>0</v>
      </c>
      <c r="I28" s="166">
        <v>0</v>
      </c>
      <c r="J28" s="165">
        <v>0</v>
      </c>
      <c r="K28" s="166">
        <v>0</v>
      </c>
      <c r="L28" s="165">
        <f t="shared" si="0"/>
        <v>0</v>
      </c>
      <c r="M28" s="166">
        <f t="shared" si="0"/>
        <v>0</v>
      </c>
      <c r="N28" s="165">
        <v>0</v>
      </c>
      <c r="O28" s="166">
        <v>0</v>
      </c>
      <c r="P28" s="165">
        <v>0</v>
      </c>
      <c r="Q28" s="166">
        <v>0</v>
      </c>
      <c r="R28" s="165">
        <f t="shared" si="1"/>
        <v>0</v>
      </c>
      <c r="S28" s="166">
        <f t="shared" si="1"/>
        <v>0</v>
      </c>
    </row>
    <row r="29" spans="1:19" s="344" customFormat="1">
      <c r="A29" s="164">
        <v>22</v>
      </c>
      <c r="B29" s="165" t="s">
        <v>108</v>
      </c>
      <c r="C29" s="165">
        <v>0</v>
      </c>
      <c r="D29" s="166">
        <v>0</v>
      </c>
      <c r="E29" s="165">
        <v>0</v>
      </c>
      <c r="F29" s="166">
        <v>0</v>
      </c>
      <c r="G29" s="164">
        <v>1</v>
      </c>
      <c r="H29" s="165">
        <v>0</v>
      </c>
      <c r="I29" s="166">
        <v>0</v>
      </c>
      <c r="J29" s="165">
        <v>0</v>
      </c>
      <c r="K29" s="166">
        <v>0</v>
      </c>
      <c r="L29" s="165">
        <v>0</v>
      </c>
      <c r="M29" s="166">
        <v>0</v>
      </c>
      <c r="N29" s="165">
        <v>0</v>
      </c>
      <c r="O29" s="166">
        <v>0</v>
      </c>
      <c r="P29" s="165">
        <v>0</v>
      </c>
      <c r="Q29" s="166">
        <v>0</v>
      </c>
      <c r="R29" s="165">
        <v>0</v>
      </c>
      <c r="S29" s="166">
        <f t="shared" ref="S29" si="2">Q29+O29</f>
        <v>0</v>
      </c>
    </row>
    <row r="30" spans="1:19" s="344" customFormat="1">
      <c r="A30" s="164">
        <v>23</v>
      </c>
      <c r="B30" s="165" t="s">
        <v>286</v>
      </c>
      <c r="C30" s="165">
        <v>0</v>
      </c>
      <c r="D30" s="166">
        <v>0</v>
      </c>
      <c r="E30" s="165">
        <v>0</v>
      </c>
      <c r="F30" s="166">
        <v>0</v>
      </c>
      <c r="G30" s="164">
        <v>1</v>
      </c>
      <c r="H30" s="165">
        <v>0</v>
      </c>
      <c r="I30" s="166">
        <v>0</v>
      </c>
      <c r="J30" s="165">
        <v>0</v>
      </c>
      <c r="K30" s="166">
        <v>0</v>
      </c>
      <c r="L30" s="165">
        <v>0</v>
      </c>
      <c r="M30" s="166">
        <v>0</v>
      </c>
      <c r="N30" s="165">
        <v>0</v>
      </c>
      <c r="O30" s="166">
        <v>0</v>
      </c>
      <c r="P30" s="165">
        <v>0</v>
      </c>
      <c r="Q30" s="166">
        <v>0</v>
      </c>
      <c r="R30" s="165">
        <v>0</v>
      </c>
      <c r="S30" s="166">
        <v>0</v>
      </c>
    </row>
    <row r="31" spans="1:19" s="344" customFormat="1">
      <c r="A31" s="1693" t="s">
        <v>267</v>
      </c>
      <c r="B31" s="1693"/>
      <c r="C31" s="869">
        <f t="shared" ref="C31:K31" si="3">SUM(C8:C30)</f>
        <v>53</v>
      </c>
      <c r="D31" s="824">
        <f t="shared" si="3"/>
        <v>26.340000000000003</v>
      </c>
      <c r="E31" s="869">
        <f t="shared" si="3"/>
        <v>232</v>
      </c>
      <c r="F31" s="824">
        <f t="shared" si="3"/>
        <v>35.79</v>
      </c>
      <c r="G31" s="870">
        <f t="shared" si="3"/>
        <v>81</v>
      </c>
      <c r="H31" s="869">
        <f t="shared" si="3"/>
        <v>0</v>
      </c>
      <c r="I31" s="824">
        <f t="shared" si="3"/>
        <v>0</v>
      </c>
      <c r="J31" s="869">
        <f t="shared" si="3"/>
        <v>9</v>
      </c>
      <c r="K31" s="824">
        <f t="shared" si="3"/>
        <v>24.21</v>
      </c>
      <c r="L31" s="869">
        <f>SUM(L8:L29)</f>
        <v>9</v>
      </c>
      <c r="M31" s="824">
        <f>SUM(M8:M29)</f>
        <v>24.21</v>
      </c>
      <c r="N31" s="869">
        <f>SUM(N8:N30)</f>
        <v>33</v>
      </c>
      <c r="O31" s="824">
        <f>SUM(O8:O30)</f>
        <v>39.690000000000005</v>
      </c>
      <c r="P31" s="869">
        <f>SUM(P8:P30)</f>
        <v>1045</v>
      </c>
      <c r="Q31" s="824">
        <f>SUM(Q8:Q30)</f>
        <v>293.14</v>
      </c>
      <c r="R31" s="869">
        <f>SUM(R8:R29)</f>
        <v>1078</v>
      </c>
      <c r="S31" s="824">
        <f>SUM(S8:S30)</f>
        <v>303.54000000000002</v>
      </c>
    </row>
    <row r="32" spans="1:19" s="344" customFormat="1">
      <c r="A32" s="165"/>
      <c r="B32" s="164" t="s">
        <v>16</v>
      </c>
      <c r="C32" s="165">
        <v>168</v>
      </c>
      <c r="D32" s="166">
        <v>10.48</v>
      </c>
      <c r="E32" s="165">
        <v>2241</v>
      </c>
      <c r="F32" s="166">
        <v>235.66</v>
      </c>
      <c r="G32" s="164">
        <v>8</v>
      </c>
      <c r="H32" s="165">
        <v>0</v>
      </c>
      <c r="I32" s="166">
        <v>0</v>
      </c>
      <c r="J32" s="165">
        <v>2</v>
      </c>
      <c r="K32" s="166">
        <v>7</v>
      </c>
      <c r="L32" s="165">
        <f>J32+H32</f>
        <v>2</v>
      </c>
      <c r="M32" s="166">
        <f>K32+I32</f>
        <v>7</v>
      </c>
      <c r="N32" s="165">
        <v>5</v>
      </c>
      <c r="O32" s="166">
        <v>1.58</v>
      </c>
      <c r="P32" s="165">
        <v>56</v>
      </c>
      <c r="Q32" s="166">
        <v>80.349999999999994</v>
      </c>
      <c r="R32" s="165">
        <f>P32+N32</f>
        <v>61</v>
      </c>
      <c r="S32" s="166">
        <f>Q32+O32</f>
        <v>81.929999999999993</v>
      </c>
    </row>
    <row r="33" spans="1:19" s="344" customFormat="1">
      <c r="A33" s="165"/>
      <c r="B33" s="164" t="s">
        <v>12</v>
      </c>
      <c r="C33" s="165">
        <v>3</v>
      </c>
      <c r="D33" s="166">
        <v>0.53</v>
      </c>
      <c r="E33" s="165">
        <v>481</v>
      </c>
      <c r="F33" s="166">
        <v>33.78</v>
      </c>
      <c r="G33" s="164">
        <v>11</v>
      </c>
      <c r="H33" s="165">
        <v>0</v>
      </c>
      <c r="I33" s="166">
        <v>0</v>
      </c>
      <c r="J33" s="165">
        <v>2</v>
      </c>
      <c r="K33" s="166">
        <v>4.12</v>
      </c>
      <c r="L33" s="165">
        <f>J33+H33</f>
        <v>2</v>
      </c>
      <c r="M33" s="166">
        <f>K33+I33</f>
        <v>4.12</v>
      </c>
      <c r="N33" s="165">
        <v>7</v>
      </c>
      <c r="O33" s="166">
        <v>14.62</v>
      </c>
      <c r="P33" s="165">
        <v>40</v>
      </c>
      <c r="Q33" s="166">
        <v>74.75</v>
      </c>
      <c r="R33" s="165">
        <f>P33+N33</f>
        <v>47</v>
      </c>
      <c r="S33" s="166">
        <f>Q33+O33</f>
        <v>89.37</v>
      </c>
    </row>
    <row r="34" spans="1:19" s="344" customFormat="1">
      <c r="A34" s="1693" t="s">
        <v>287</v>
      </c>
      <c r="B34" s="1693"/>
      <c r="C34" s="823">
        <f t="shared" ref="C34:S34" si="4">SUM(C31:C33)</f>
        <v>224</v>
      </c>
      <c r="D34" s="824">
        <f t="shared" si="4"/>
        <v>37.350000000000009</v>
      </c>
      <c r="E34" s="823">
        <f>SUM(E31:E33)</f>
        <v>2954</v>
      </c>
      <c r="F34" s="824">
        <f>SUM(F31:F33)</f>
        <v>305.23</v>
      </c>
      <c r="G34" s="870">
        <f>SUM(G31:G33)</f>
        <v>100</v>
      </c>
      <c r="H34" s="823">
        <f>SUM(H31:H33)</f>
        <v>0</v>
      </c>
      <c r="I34" s="824">
        <f>SUM(I31:I33)</f>
        <v>0</v>
      </c>
      <c r="J34" s="823">
        <f t="shared" si="4"/>
        <v>13</v>
      </c>
      <c r="K34" s="824">
        <f t="shared" si="4"/>
        <v>35.33</v>
      </c>
      <c r="L34" s="823">
        <f t="shared" si="4"/>
        <v>13</v>
      </c>
      <c r="M34" s="824">
        <f t="shared" si="4"/>
        <v>35.33</v>
      </c>
      <c r="N34" s="823">
        <f>SUM(N31:N33)</f>
        <v>45</v>
      </c>
      <c r="O34" s="824">
        <f>SUM(O31:O33)</f>
        <v>55.89</v>
      </c>
      <c r="P34" s="823">
        <f>SUM(P31:P33)</f>
        <v>1141</v>
      </c>
      <c r="Q34" s="824">
        <f>SUM(Q31:Q33)</f>
        <v>448.24</v>
      </c>
      <c r="R34" s="823">
        <f t="shared" si="4"/>
        <v>1186</v>
      </c>
      <c r="S34" s="824">
        <f t="shared" si="4"/>
        <v>474.84000000000003</v>
      </c>
    </row>
    <row r="35" spans="1:19">
      <c r="E35" s="854"/>
      <c r="F35" s="855"/>
      <c r="G35" s="344"/>
    </row>
    <row r="36" spans="1:19">
      <c r="E36" s="344"/>
      <c r="F36" s="344"/>
      <c r="G36" s="344"/>
    </row>
  </sheetData>
  <mergeCells count="21">
    <mergeCell ref="A31:B31"/>
    <mergeCell ref="A34:B34"/>
    <mergeCell ref="G5:G7"/>
    <mergeCell ref="H5:M5"/>
    <mergeCell ref="N5:S5"/>
    <mergeCell ref="H6:I6"/>
    <mergeCell ref="J6:K6"/>
    <mergeCell ref="L6:M6"/>
    <mergeCell ref="N6:O6"/>
    <mergeCell ref="P6:Q6"/>
    <mergeCell ref="R6:S6"/>
    <mergeCell ref="A1:S1"/>
    <mergeCell ref="C2:L2"/>
    <mergeCell ref="M2:S2"/>
    <mergeCell ref="G3:J3"/>
    <mergeCell ref="A4:A7"/>
    <mergeCell ref="B4:B7"/>
    <mergeCell ref="C4:F4"/>
    <mergeCell ref="G4:S4"/>
    <mergeCell ref="C5:D6"/>
    <mergeCell ref="E5:F6"/>
  </mergeCells>
  <pageMargins left="0.7" right="0.7" top="0.75" bottom="0.75" header="0.3" footer="0.3"/>
  <pageSetup scale="67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M1"/>
    </sheetView>
  </sheetViews>
  <sheetFormatPr defaultRowHeight="15"/>
  <cols>
    <col min="8" max="8" width="6.42578125" customWidth="1"/>
    <col min="13" max="13" width="12.140625" customWidth="1"/>
  </cols>
  <sheetData>
    <row r="1" spans="1:13" ht="15.75">
      <c r="A1" s="1482">
        <v>76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</row>
    <row r="2" spans="1:13" ht="15.75">
      <c r="A2" s="274"/>
      <c r="B2" s="1589" t="s">
        <v>351</v>
      </c>
      <c r="C2" s="1589"/>
      <c r="D2" s="1589"/>
      <c r="E2" s="1589"/>
      <c r="F2" s="1589"/>
      <c r="H2" s="275"/>
      <c r="I2" s="1531" t="s">
        <v>352</v>
      </c>
      <c r="J2" s="1531"/>
      <c r="K2" s="1531"/>
      <c r="L2" s="1531"/>
      <c r="M2" s="1531"/>
    </row>
    <row r="3" spans="1:13" ht="15.75">
      <c r="B3" s="276"/>
      <c r="C3" s="276"/>
      <c r="D3" s="276"/>
      <c r="E3" s="1531" t="s">
        <v>564</v>
      </c>
      <c r="F3" s="1531"/>
      <c r="G3" s="1531"/>
      <c r="H3" s="1531"/>
      <c r="I3" s="1531"/>
      <c r="J3" s="1531"/>
      <c r="K3" s="276"/>
      <c r="L3" s="276"/>
    </row>
    <row r="4" spans="1:13" ht="63.75">
      <c r="A4" s="248" t="s">
        <v>130</v>
      </c>
      <c r="B4" s="248" t="s">
        <v>131</v>
      </c>
      <c r="C4" s="248" t="s">
        <v>243</v>
      </c>
      <c r="D4" s="248" t="s">
        <v>353</v>
      </c>
      <c r="E4" s="248" t="s">
        <v>354</v>
      </c>
      <c r="F4" s="248" t="s">
        <v>355</v>
      </c>
      <c r="G4" s="248" t="s">
        <v>356</v>
      </c>
      <c r="I4" s="248" t="s">
        <v>357</v>
      </c>
      <c r="J4" s="248" t="s">
        <v>358</v>
      </c>
      <c r="K4" s="248" t="s">
        <v>359</v>
      </c>
      <c r="L4" s="248" t="s">
        <v>360</v>
      </c>
      <c r="M4" s="248" t="s">
        <v>361</v>
      </c>
    </row>
    <row r="5" spans="1:13" ht="15.75">
      <c r="A5" s="532">
        <v>1</v>
      </c>
      <c r="B5" s="542" t="s">
        <v>78</v>
      </c>
      <c r="C5" s="542">
        <v>140</v>
      </c>
      <c r="D5" s="542">
        <v>0</v>
      </c>
      <c r="E5" s="542">
        <v>0</v>
      </c>
      <c r="F5" s="542">
        <v>0</v>
      </c>
      <c r="G5" s="543">
        <v>0</v>
      </c>
      <c r="H5" s="544"/>
      <c r="I5" s="542"/>
      <c r="J5" s="542">
        <v>0</v>
      </c>
      <c r="K5" s="543">
        <v>0</v>
      </c>
      <c r="L5" s="542">
        <v>0</v>
      </c>
      <c r="M5" s="543">
        <v>0</v>
      </c>
    </row>
    <row r="6" spans="1:13" s="344" customFormat="1">
      <c r="A6" s="164">
        <v>2</v>
      </c>
      <c r="B6" s="165" t="s">
        <v>27</v>
      </c>
      <c r="C6" s="165"/>
      <c r="D6" s="165">
        <v>3</v>
      </c>
      <c r="E6" s="165">
        <v>2001</v>
      </c>
      <c r="F6" s="165">
        <v>0</v>
      </c>
      <c r="G6" s="166">
        <v>0</v>
      </c>
      <c r="H6" s="502"/>
      <c r="I6" s="503"/>
      <c r="J6" s="165">
        <v>0</v>
      </c>
      <c r="K6" s="166">
        <v>0</v>
      </c>
      <c r="L6" s="165">
        <v>0</v>
      </c>
      <c r="M6" s="166">
        <v>0</v>
      </c>
    </row>
    <row r="7" spans="1:13" s="344" customFormat="1" ht="15.75">
      <c r="A7" s="814">
        <v>3</v>
      </c>
      <c r="B7" s="820" t="s">
        <v>46</v>
      </c>
      <c r="C7" s="820">
        <v>85</v>
      </c>
      <c r="D7" s="820">
        <v>40</v>
      </c>
      <c r="E7" s="820">
        <v>546</v>
      </c>
      <c r="F7" s="820">
        <v>0</v>
      </c>
      <c r="G7" s="821">
        <v>0</v>
      </c>
      <c r="H7" s="822"/>
      <c r="I7" s="820"/>
      <c r="J7" s="820">
        <v>0</v>
      </c>
      <c r="K7" s="821">
        <v>0</v>
      </c>
      <c r="L7" s="820">
        <v>0</v>
      </c>
      <c r="M7" s="821">
        <v>0</v>
      </c>
    </row>
    <row r="8" spans="1:13" s="344" customFormat="1">
      <c r="A8" s="164">
        <v>4</v>
      </c>
      <c r="B8" s="165" t="s">
        <v>32</v>
      </c>
      <c r="C8" s="165"/>
      <c r="D8" s="165">
        <f>18+69+40</f>
        <v>127</v>
      </c>
      <c r="E8" s="165">
        <f>690+1233+716+88+40</f>
        <v>2767</v>
      </c>
      <c r="F8" s="165">
        <v>2767</v>
      </c>
      <c r="G8" s="166">
        <f>16+25.44+0.84+2.03</f>
        <v>44.31</v>
      </c>
      <c r="H8" s="502"/>
      <c r="I8" s="503"/>
      <c r="J8" s="165">
        <v>0</v>
      </c>
      <c r="K8" s="166">
        <v>0</v>
      </c>
      <c r="L8" s="165">
        <v>0</v>
      </c>
      <c r="M8" s="166">
        <v>0</v>
      </c>
    </row>
    <row r="9" spans="1:13" s="344" customFormat="1" ht="15.75">
      <c r="A9" s="814">
        <v>5</v>
      </c>
      <c r="B9" s="820" t="s">
        <v>83</v>
      </c>
      <c r="C9" s="820">
        <v>30</v>
      </c>
      <c r="D9" s="820">
        <v>25</v>
      </c>
      <c r="E9" s="820">
        <v>432</v>
      </c>
      <c r="F9" s="820">
        <v>432</v>
      </c>
      <c r="G9" s="821">
        <v>18.32</v>
      </c>
      <c r="H9" s="822"/>
      <c r="I9" s="820"/>
      <c r="J9" s="820">
        <v>0</v>
      </c>
      <c r="K9" s="821">
        <v>0</v>
      </c>
      <c r="L9" s="820">
        <v>0</v>
      </c>
      <c r="M9" s="821">
        <v>0</v>
      </c>
    </row>
    <row r="10" spans="1:13" s="344" customFormat="1">
      <c r="A10" s="164">
        <v>6</v>
      </c>
      <c r="B10" s="165" t="s">
        <v>85</v>
      </c>
      <c r="C10" s="165"/>
      <c r="D10" s="165">
        <v>385</v>
      </c>
      <c r="E10" s="165">
        <v>4463</v>
      </c>
      <c r="F10" s="165">
        <v>0</v>
      </c>
      <c r="G10" s="166">
        <v>0</v>
      </c>
      <c r="H10" s="502"/>
      <c r="I10" s="503"/>
      <c r="J10" s="165">
        <v>19</v>
      </c>
      <c r="K10" s="166">
        <v>4</v>
      </c>
      <c r="L10" s="165">
        <v>94</v>
      </c>
      <c r="M10" s="166">
        <v>24</v>
      </c>
    </row>
    <row r="11" spans="1:13" s="344" customFormat="1">
      <c r="A11" s="164">
        <v>7</v>
      </c>
      <c r="B11" s="165" t="s">
        <v>17</v>
      </c>
      <c r="C11" s="165"/>
      <c r="D11" s="165">
        <v>20</v>
      </c>
      <c r="E11" s="165">
        <v>5485</v>
      </c>
      <c r="F11" s="165">
        <v>0</v>
      </c>
      <c r="G11" s="166">
        <v>0</v>
      </c>
      <c r="H11" s="502"/>
      <c r="I11" s="503"/>
      <c r="J11" s="165">
        <v>0</v>
      </c>
      <c r="K11" s="166">
        <v>0</v>
      </c>
      <c r="L11" s="165">
        <v>0</v>
      </c>
      <c r="M11" s="166">
        <v>0</v>
      </c>
    </row>
    <row r="12" spans="1:13" s="344" customFormat="1">
      <c r="A12" s="168">
        <v>8</v>
      </c>
      <c r="B12" s="169" t="s">
        <v>26</v>
      </c>
      <c r="C12" s="169"/>
      <c r="D12" s="169">
        <v>151</v>
      </c>
      <c r="E12" s="169">
        <v>2132</v>
      </c>
      <c r="F12" s="169">
        <v>2132</v>
      </c>
      <c r="G12" s="170">
        <v>56.7</v>
      </c>
      <c r="H12" s="502"/>
      <c r="I12" s="503"/>
      <c r="J12" s="165">
        <v>14</v>
      </c>
      <c r="K12" s="166">
        <v>775.19</v>
      </c>
      <c r="L12" s="165">
        <v>132</v>
      </c>
      <c r="M12" s="166">
        <v>707.5</v>
      </c>
    </row>
    <row r="13" spans="1:13" s="344" customFormat="1">
      <c r="A13" s="164">
        <v>9</v>
      </c>
      <c r="B13" s="165" t="s">
        <v>11</v>
      </c>
      <c r="C13" s="165"/>
      <c r="D13" s="165">
        <v>0</v>
      </c>
      <c r="E13" s="165">
        <v>215</v>
      </c>
      <c r="F13" s="165">
        <v>215</v>
      </c>
      <c r="G13" s="166">
        <v>11.79</v>
      </c>
      <c r="H13" s="502"/>
      <c r="I13" s="503"/>
      <c r="J13" s="165">
        <v>0</v>
      </c>
      <c r="K13" s="166">
        <v>0</v>
      </c>
      <c r="L13" s="165">
        <v>0</v>
      </c>
      <c r="M13" s="166">
        <v>0</v>
      </c>
    </row>
    <row r="14" spans="1:13" ht="15.75">
      <c r="A14" s="532">
        <v>10</v>
      </c>
      <c r="B14" s="542" t="s">
        <v>90</v>
      </c>
      <c r="C14" s="542">
        <v>700</v>
      </c>
      <c r="D14" s="542">
        <v>11</v>
      </c>
      <c r="E14" s="542">
        <v>1262</v>
      </c>
      <c r="F14" s="542">
        <v>0</v>
      </c>
      <c r="G14" s="543">
        <v>0</v>
      </c>
      <c r="H14" s="544"/>
      <c r="I14" s="542"/>
      <c r="J14" s="542">
        <v>0</v>
      </c>
      <c r="K14" s="543">
        <v>0</v>
      </c>
      <c r="L14" s="542">
        <v>0</v>
      </c>
      <c r="M14" s="543">
        <v>0</v>
      </c>
    </row>
    <row r="15" spans="1:13" ht="15.75">
      <c r="A15" s="532">
        <v>11</v>
      </c>
      <c r="B15" s="542" t="s">
        <v>92</v>
      </c>
      <c r="C15" s="358">
        <v>300</v>
      </c>
      <c r="D15" s="358">
        <v>24</v>
      </c>
      <c r="E15" s="358">
        <v>936</v>
      </c>
      <c r="F15" s="358">
        <v>936</v>
      </c>
      <c r="G15" s="351">
        <v>44.68</v>
      </c>
      <c r="H15" s="267"/>
      <c r="I15" s="358"/>
      <c r="J15" s="358">
        <v>0</v>
      </c>
      <c r="K15" s="351">
        <v>0</v>
      </c>
      <c r="L15" s="358">
        <v>0</v>
      </c>
      <c r="M15" s="351">
        <v>0</v>
      </c>
    </row>
    <row r="16" spans="1:13" ht="15.75">
      <c r="A16" s="532">
        <v>12</v>
      </c>
      <c r="B16" s="542" t="s">
        <v>51</v>
      </c>
      <c r="C16" s="542">
        <v>10</v>
      </c>
      <c r="D16" s="542">
        <v>2</v>
      </c>
      <c r="E16" s="542">
        <v>212</v>
      </c>
      <c r="F16" s="542">
        <v>0</v>
      </c>
      <c r="G16" s="543">
        <v>0</v>
      </c>
      <c r="H16" s="544"/>
      <c r="I16" s="542"/>
      <c r="J16" s="542">
        <v>0</v>
      </c>
      <c r="K16" s="543">
        <v>0</v>
      </c>
      <c r="L16" s="542">
        <v>0</v>
      </c>
      <c r="M16" s="543">
        <v>0</v>
      </c>
    </row>
    <row r="17" spans="1:13" ht="15.75">
      <c r="A17" s="532">
        <v>13</v>
      </c>
      <c r="B17" s="542" t="s">
        <v>52</v>
      </c>
      <c r="C17" s="358">
        <v>15</v>
      </c>
      <c r="D17" s="358">
        <v>3</v>
      </c>
      <c r="E17" s="358">
        <v>358</v>
      </c>
      <c r="F17" s="358">
        <v>358</v>
      </c>
      <c r="G17" s="351">
        <v>9.01</v>
      </c>
      <c r="H17" s="267"/>
      <c r="I17" s="358"/>
      <c r="J17" s="358">
        <v>0</v>
      </c>
      <c r="K17" s="351">
        <v>0</v>
      </c>
      <c r="L17" s="358">
        <v>0</v>
      </c>
      <c r="M17" s="351">
        <v>0</v>
      </c>
    </row>
    <row r="18" spans="1:13" s="344" customFormat="1">
      <c r="A18" s="164">
        <v>14</v>
      </c>
      <c r="B18" s="165" t="s">
        <v>28</v>
      </c>
      <c r="C18" s="165"/>
      <c r="D18" s="165">
        <v>10</v>
      </c>
      <c r="E18" s="165">
        <v>60</v>
      </c>
      <c r="F18" s="165">
        <v>60</v>
      </c>
      <c r="G18" s="166">
        <v>0.32</v>
      </c>
      <c r="H18" s="502"/>
      <c r="I18" s="503"/>
      <c r="J18" s="165">
        <v>0</v>
      </c>
      <c r="K18" s="166">
        <v>0</v>
      </c>
      <c r="L18" s="165">
        <v>0</v>
      </c>
      <c r="M18" s="166">
        <v>0</v>
      </c>
    </row>
    <row r="19" spans="1:13" s="344" customFormat="1">
      <c r="A19" s="168">
        <v>15</v>
      </c>
      <c r="B19" s="169" t="s">
        <v>10</v>
      </c>
      <c r="C19" s="169"/>
      <c r="D19" s="169">
        <f>200355-196311</f>
        <v>4044</v>
      </c>
      <c r="E19" s="169">
        <v>200355</v>
      </c>
      <c r="F19" s="169">
        <v>200355</v>
      </c>
      <c r="G19" s="170">
        <v>6139.81</v>
      </c>
      <c r="H19" s="502"/>
      <c r="I19" s="503"/>
      <c r="J19" s="165">
        <v>0</v>
      </c>
      <c r="K19" s="166">
        <v>0</v>
      </c>
      <c r="L19" s="165">
        <v>0</v>
      </c>
      <c r="M19" s="166">
        <v>0</v>
      </c>
    </row>
    <row r="20" spans="1:13" ht="15.75">
      <c r="A20" s="532">
        <v>16</v>
      </c>
      <c r="B20" s="542" t="s">
        <v>98</v>
      </c>
      <c r="C20" s="358">
        <v>50</v>
      </c>
      <c r="D20" s="358">
        <v>1</v>
      </c>
      <c r="E20" s="358">
        <v>1344</v>
      </c>
      <c r="F20" s="358">
        <v>1344</v>
      </c>
      <c r="G20" s="351">
        <v>421.05</v>
      </c>
      <c r="H20" s="267"/>
      <c r="I20" s="358"/>
      <c r="J20" s="358">
        <v>0</v>
      </c>
      <c r="K20" s="351">
        <v>0</v>
      </c>
      <c r="L20" s="358">
        <v>0</v>
      </c>
      <c r="M20" s="351">
        <v>0</v>
      </c>
    </row>
    <row r="21" spans="1:13" s="344" customFormat="1">
      <c r="A21" s="164">
        <v>17</v>
      </c>
      <c r="B21" s="165" t="s">
        <v>35</v>
      </c>
      <c r="C21" s="165"/>
      <c r="D21" s="165">
        <v>25</v>
      </c>
      <c r="E21" s="165">
        <v>1864</v>
      </c>
      <c r="F21" s="165">
        <v>1864</v>
      </c>
      <c r="G21" s="166">
        <v>25.19</v>
      </c>
      <c r="H21" s="502"/>
      <c r="I21" s="503"/>
      <c r="J21" s="165">
        <v>0</v>
      </c>
      <c r="K21" s="166">
        <v>0</v>
      </c>
      <c r="L21" s="165">
        <v>0</v>
      </c>
      <c r="M21" s="166">
        <v>0</v>
      </c>
    </row>
    <row r="22" spans="1:13" ht="15.75">
      <c r="A22" s="532">
        <v>18</v>
      </c>
      <c r="B22" s="542" t="s">
        <v>54</v>
      </c>
      <c r="C22" s="358">
        <v>15</v>
      </c>
      <c r="D22" s="358">
        <v>0</v>
      </c>
      <c r="E22" s="358">
        <v>1167</v>
      </c>
      <c r="F22" s="358">
        <v>1167</v>
      </c>
      <c r="G22" s="351">
        <v>40</v>
      </c>
      <c r="H22" s="267"/>
      <c r="I22" s="358"/>
      <c r="J22" s="358">
        <v>0</v>
      </c>
      <c r="K22" s="351">
        <v>0</v>
      </c>
      <c r="L22" s="358">
        <v>6</v>
      </c>
      <c r="M22" s="351">
        <v>1.22</v>
      </c>
    </row>
    <row r="23" spans="1:13" ht="15.75">
      <c r="A23" s="532">
        <v>19</v>
      </c>
      <c r="B23" s="542" t="s">
        <v>102</v>
      </c>
      <c r="C23" s="358">
        <v>10</v>
      </c>
      <c r="D23" s="358">
        <v>0</v>
      </c>
      <c r="E23" s="358">
        <v>235</v>
      </c>
      <c r="F23" s="358">
        <v>235</v>
      </c>
      <c r="G23" s="351">
        <v>4.82</v>
      </c>
      <c r="H23" s="267"/>
      <c r="I23" s="358"/>
      <c r="J23" s="358">
        <v>0</v>
      </c>
      <c r="K23" s="351">
        <v>0</v>
      </c>
      <c r="L23" s="358">
        <v>0</v>
      </c>
      <c r="M23" s="351">
        <v>0</v>
      </c>
    </row>
    <row r="24" spans="1:13" ht="15.75">
      <c r="A24" s="532">
        <v>20</v>
      </c>
      <c r="B24" s="542" t="s">
        <v>104</v>
      </c>
      <c r="C24" s="358">
        <v>30</v>
      </c>
      <c r="D24" s="358">
        <v>10</v>
      </c>
      <c r="E24" s="358">
        <v>3694</v>
      </c>
      <c r="F24" s="358">
        <v>0</v>
      </c>
      <c r="G24" s="351">
        <v>0</v>
      </c>
      <c r="H24" s="267"/>
      <c r="I24" s="358"/>
      <c r="J24" s="358">
        <v>0</v>
      </c>
      <c r="K24" s="351">
        <v>0</v>
      </c>
      <c r="L24" s="358">
        <v>1</v>
      </c>
      <c r="M24" s="351">
        <v>0.05</v>
      </c>
    </row>
    <row r="25" spans="1:13" ht="15.75">
      <c r="A25" s="532">
        <v>21</v>
      </c>
      <c r="B25" s="542" t="s">
        <v>106</v>
      </c>
      <c r="C25" s="542">
        <v>5</v>
      </c>
      <c r="D25" s="542">
        <v>0</v>
      </c>
      <c r="E25" s="542">
        <v>0</v>
      </c>
      <c r="F25" s="542">
        <v>0</v>
      </c>
      <c r="G25" s="543">
        <v>0</v>
      </c>
      <c r="H25" s="544"/>
      <c r="I25" s="542"/>
      <c r="J25" s="542">
        <v>0</v>
      </c>
      <c r="K25" s="543">
        <v>0</v>
      </c>
      <c r="L25" s="542">
        <v>0</v>
      </c>
      <c r="M25" s="543">
        <v>0</v>
      </c>
    </row>
    <row r="26" spans="1:13" ht="15.75">
      <c r="A26" s="532">
        <v>22</v>
      </c>
      <c r="B26" s="542" t="s">
        <v>481</v>
      </c>
      <c r="C26" s="358">
        <v>0</v>
      </c>
      <c r="D26" s="358">
        <v>0</v>
      </c>
      <c r="E26" s="358">
        <v>0</v>
      </c>
      <c r="F26" s="358">
        <v>0</v>
      </c>
      <c r="G26" s="351">
        <v>0</v>
      </c>
      <c r="H26" s="267"/>
      <c r="I26" s="358"/>
      <c r="J26" s="358">
        <v>0</v>
      </c>
      <c r="K26" s="351">
        <v>0</v>
      </c>
      <c r="L26" s="358">
        <v>0</v>
      </c>
      <c r="M26" s="351">
        <v>0</v>
      </c>
    </row>
    <row r="27" spans="1:13" s="344" customFormat="1">
      <c r="A27" s="823" t="s">
        <v>113</v>
      </c>
      <c r="B27" s="823" t="s">
        <v>13</v>
      </c>
      <c r="C27" s="823"/>
      <c r="D27" s="823">
        <f>SUM(D5:D26)</f>
        <v>4881</v>
      </c>
      <c r="E27" s="823">
        <f>SUM(E5:E26)</f>
        <v>229528</v>
      </c>
      <c r="F27" s="823">
        <f>SUM(F5:F26)</f>
        <v>211865</v>
      </c>
      <c r="G27" s="824">
        <f>SUM(G5:G26)</f>
        <v>6816</v>
      </c>
      <c r="H27" s="713"/>
      <c r="I27" s="723"/>
      <c r="J27" s="823">
        <f>SUM(J5:J26)</f>
        <v>33</v>
      </c>
      <c r="K27" s="824">
        <f>SUM(K5:K26)</f>
        <v>779.19</v>
      </c>
      <c r="L27" s="823">
        <f>SUM(L5:L26)</f>
        <v>233</v>
      </c>
      <c r="M27" s="824">
        <f>SUM(M5:M26)</f>
        <v>732.77</v>
      </c>
    </row>
    <row r="28" spans="1:13" s="344" customFormat="1">
      <c r="A28" s="165">
        <v>1</v>
      </c>
      <c r="B28" s="165" t="s">
        <v>16</v>
      </c>
      <c r="C28" s="165"/>
      <c r="D28" s="165">
        <v>369</v>
      </c>
      <c r="E28" s="165">
        <v>31136</v>
      </c>
      <c r="F28" s="165">
        <v>31136</v>
      </c>
      <c r="G28" s="166">
        <v>1459.55</v>
      </c>
      <c r="H28" s="472"/>
      <c r="I28" s="165"/>
      <c r="J28" s="165">
        <v>0</v>
      </c>
      <c r="K28" s="166">
        <v>0</v>
      </c>
      <c r="L28" s="165">
        <v>219</v>
      </c>
      <c r="M28" s="166">
        <v>59.85</v>
      </c>
    </row>
    <row r="29" spans="1:13" s="344" customFormat="1">
      <c r="A29" s="165">
        <v>1</v>
      </c>
      <c r="B29" s="165" t="s">
        <v>110</v>
      </c>
      <c r="C29" s="165"/>
      <c r="D29" s="165">
        <v>0</v>
      </c>
      <c r="E29" s="165">
        <v>10655</v>
      </c>
      <c r="F29" s="165">
        <v>0</v>
      </c>
      <c r="G29" s="166">
        <v>0</v>
      </c>
      <c r="H29" s="502"/>
      <c r="I29" s="503"/>
      <c r="J29" s="165">
        <v>0</v>
      </c>
      <c r="K29" s="166">
        <v>0</v>
      </c>
      <c r="L29" s="165">
        <v>96</v>
      </c>
      <c r="M29" s="166">
        <v>45.6</v>
      </c>
    </row>
    <row r="30" spans="1:13" s="344" customFormat="1">
      <c r="A30" s="823" t="s">
        <v>135</v>
      </c>
      <c r="B30" s="823" t="s">
        <v>13</v>
      </c>
      <c r="C30" s="823"/>
      <c r="D30" s="823">
        <f>SUM(D27:D29)</f>
        <v>5250</v>
      </c>
      <c r="E30" s="823">
        <f>SUM(E27:E29)</f>
        <v>271319</v>
      </c>
      <c r="F30" s="823">
        <f>SUM(F27:F29)</f>
        <v>243001</v>
      </c>
      <c r="G30" s="824">
        <f>SUM(G27:G29)</f>
        <v>8275.5499999999993</v>
      </c>
      <c r="H30" s="713"/>
      <c r="I30" s="723"/>
      <c r="J30" s="823">
        <f>SUM(J27:J29)</f>
        <v>33</v>
      </c>
      <c r="K30" s="824">
        <f>SUM(K27:K29)</f>
        <v>779.19</v>
      </c>
      <c r="L30" s="823">
        <f>SUM(L27:L29)</f>
        <v>548</v>
      </c>
      <c r="M30" s="824">
        <f>SUM(M27:M29)</f>
        <v>838.22</v>
      </c>
    </row>
    <row r="31" spans="1:13" s="344" customFormat="1">
      <c r="A31" s="165"/>
      <c r="B31" s="165"/>
      <c r="C31" s="165" t="s">
        <v>136</v>
      </c>
      <c r="D31" s="165"/>
      <c r="E31" s="165"/>
      <c r="F31" s="165"/>
      <c r="G31" s="166"/>
      <c r="H31" s="713"/>
      <c r="I31" s="169" t="s">
        <v>136</v>
      </c>
      <c r="J31" s="169"/>
      <c r="K31" s="170"/>
      <c r="L31" s="169"/>
      <c r="M31" s="170"/>
    </row>
    <row r="32" spans="1:13" s="741" customFormat="1">
      <c r="A32" s="842" t="s">
        <v>135</v>
      </c>
      <c r="B32" s="842" t="s">
        <v>13</v>
      </c>
      <c r="C32" s="842"/>
      <c r="D32" s="842">
        <v>25839</v>
      </c>
      <c r="E32" s="842">
        <v>272884</v>
      </c>
      <c r="F32" s="842">
        <v>197562</v>
      </c>
      <c r="G32" s="843">
        <v>6063.2900000000009</v>
      </c>
      <c r="H32" s="345"/>
      <c r="I32" s="842"/>
      <c r="J32" s="842">
        <v>50</v>
      </c>
      <c r="K32" s="843">
        <v>207.07000000000002</v>
      </c>
      <c r="L32" s="842">
        <v>674</v>
      </c>
      <c r="M32" s="843">
        <v>1599.3799999999999</v>
      </c>
    </row>
  </sheetData>
  <mergeCells count="4">
    <mergeCell ref="A1:M1"/>
    <mergeCell ref="B2:F2"/>
    <mergeCell ref="I2:M2"/>
    <mergeCell ref="E3:J3"/>
  </mergeCells>
  <pageMargins left="0.7" right="0.7" top="0.75" bottom="0.75" header="0.3" footer="0.3"/>
  <pageSetup scale="95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sqref="A1:U1"/>
    </sheetView>
  </sheetViews>
  <sheetFormatPr defaultRowHeight="15"/>
  <cols>
    <col min="1" max="1" width="5.5703125" bestFit="1" customWidth="1"/>
    <col min="2" max="2" width="6.5703125" bestFit="1" customWidth="1"/>
    <col min="3" max="4" width="6.28515625" bestFit="1" customWidth="1"/>
    <col min="5" max="5" width="5" bestFit="1" customWidth="1"/>
    <col min="6" max="6" width="8.28515625" customWidth="1"/>
    <col min="7" max="8" width="8.140625" customWidth="1"/>
    <col min="9" max="10" width="6.7109375" bestFit="1" customWidth="1"/>
    <col min="11" max="11" width="7.140625" bestFit="1" customWidth="1"/>
    <col min="12" max="12" width="7.5703125" bestFit="1" customWidth="1"/>
    <col min="13" max="13" width="6.140625" customWidth="1"/>
    <col min="15" max="15" width="11.5703125" bestFit="1" customWidth="1"/>
    <col min="16" max="16" width="6.5703125" bestFit="1" customWidth="1"/>
    <col min="17" max="17" width="8.7109375" bestFit="1" customWidth="1"/>
    <col min="18" max="18" width="4.5703125" bestFit="1" customWidth="1"/>
    <col min="19" max="19" width="4.7109375" bestFit="1" customWidth="1"/>
    <col min="20" max="20" width="4.5703125" bestFit="1" customWidth="1"/>
    <col min="21" max="21" width="4.7109375" bestFit="1" customWidth="1"/>
  </cols>
  <sheetData>
    <row r="1" spans="1:21" ht="15.75">
      <c r="A1" s="1482">
        <v>77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  <c r="T1" s="1482"/>
      <c r="U1" s="1482"/>
    </row>
    <row r="2" spans="1:21" ht="18">
      <c r="A2" s="1593" t="s">
        <v>477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  <c r="Q2" s="1593"/>
      <c r="R2" s="1593"/>
      <c r="S2" s="1593"/>
      <c r="T2" s="1593"/>
      <c r="U2" s="1593"/>
    </row>
    <row r="3" spans="1:21" ht="15.75">
      <c r="A3" s="1594" t="s">
        <v>478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</row>
    <row r="4" spans="1:21" ht="48">
      <c r="A4" s="227" t="s">
        <v>130</v>
      </c>
      <c r="B4" s="227" t="s">
        <v>131</v>
      </c>
      <c r="C4" s="227" t="s">
        <v>243</v>
      </c>
      <c r="D4" s="227" t="s">
        <v>244</v>
      </c>
      <c r="E4" s="227" t="s">
        <v>13</v>
      </c>
      <c r="F4" s="228" t="s">
        <v>245</v>
      </c>
      <c r="G4" s="228" t="s">
        <v>246</v>
      </c>
      <c r="H4" s="228" t="s">
        <v>247</v>
      </c>
      <c r="I4" s="228" t="s">
        <v>248</v>
      </c>
      <c r="J4" s="228" t="s">
        <v>249</v>
      </c>
      <c r="K4" s="228" t="s">
        <v>250</v>
      </c>
      <c r="L4" s="228" t="s">
        <v>251</v>
      </c>
      <c r="M4" s="228" t="s">
        <v>252</v>
      </c>
      <c r="N4" s="229"/>
      <c r="O4" s="230" t="s">
        <v>253</v>
      </c>
      <c r="P4" s="230" t="s">
        <v>243</v>
      </c>
      <c r="Q4" s="230" t="s">
        <v>254</v>
      </c>
      <c r="R4" s="1595" t="s">
        <v>255</v>
      </c>
      <c r="S4" s="1595"/>
      <c r="T4" s="1595" t="s">
        <v>256</v>
      </c>
      <c r="U4" s="1595"/>
    </row>
    <row r="5" spans="1:21" s="344" customFormat="1">
      <c r="A5" s="729">
        <v>1</v>
      </c>
      <c r="B5" s="730" t="s">
        <v>78</v>
      </c>
      <c r="C5" s="788">
        <v>1</v>
      </c>
      <c r="D5" s="459"/>
      <c r="E5" s="459"/>
      <c r="F5" s="731"/>
      <c r="G5" s="731"/>
      <c r="H5" s="732"/>
      <c r="I5" s="731"/>
      <c r="J5" s="732"/>
      <c r="K5" s="462"/>
      <c r="L5" s="462"/>
      <c r="M5" s="463"/>
      <c r="N5" s="464"/>
      <c r="O5" s="733"/>
      <c r="P5" s="718" t="s">
        <v>257</v>
      </c>
      <c r="Q5" s="718" t="s">
        <v>257</v>
      </c>
      <c r="R5" s="718" t="s">
        <v>257</v>
      </c>
      <c r="S5" s="718" t="s">
        <v>258</v>
      </c>
      <c r="T5" s="718" t="s">
        <v>257</v>
      </c>
      <c r="U5" s="718" t="s">
        <v>258</v>
      </c>
    </row>
    <row r="6" spans="1:21" s="344" customFormat="1">
      <c r="A6" s="457">
        <v>2</v>
      </c>
      <c r="B6" s="141" t="s">
        <v>27</v>
      </c>
      <c r="C6" s="787">
        <v>2</v>
      </c>
      <c r="D6" s="458"/>
      <c r="E6" s="459"/>
      <c r="F6" s="460"/>
      <c r="G6" s="460"/>
      <c r="H6" s="461"/>
      <c r="I6" s="460"/>
      <c r="J6" s="461"/>
      <c r="K6" s="462"/>
      <c r="L6" s="462"/>
      <c r="M6" s="463"/>
      <c r="N6" s="716"/>
      <c r="O6" s="141" t="s">
        <v>40</v>
      </c>
      <c r="P6" s="786">
        <v>4</v>
      </c>
      <c r="Q6" s="457"/>
      <c r="R6" s="457"/>
      <c r="S6" s="342"/>
      <c r="T6" s="457"/>
      <c r="U6" s="342"/>
    </row>
    <row r="7" spans="1:21" s="344" customFormat="1">
      <c r="A7" s="457">
        <v>3</v>
      </c>
      <c r="B7" s="473" t="s">
        <v>46</v>
      </c>
      <c r="C7" s="787">
        <v>1</v>
      </c>
      <c r="D7" s="458"/>
      <c r="E7" s="459"/>
      <c r="F7" s="460"/>
      <c r="G7" s="460"/>
      <c r="H7" s="461"/>
      <c r="I7" s="460"/>
      <c r="J7" s="461"/>
      <c r="K7" s="462"/>
      <c r="L7" s="462"/>
      <c r="M7" s="463"/>
      <c r="N7" s="464"/>
      <c r="O7" s="141" t="s">
        <v>70</v>
      </c>
      <c r="P7" s="786">
        <v>4</v>
      </c>
      <c r="Q7" s="457"/>
      <c r="R7" s="457"/>
      <c r="S7" s="342"/>
      <c r="T7" s="457"/>
      <c r="U7" s="342"/>
    </row>
    <row r="8" spans="1:21" s="344" customFormat="1">
      <c r="A8" s="457">
        <v>4</v>
      </c>
      <c r="B8" s="141" t="s">
        <v>32</v>
      </c>
      <c r="C8" s="787">
        <v>7</v>
      </c>
      <c r="D8" s="458"/>
      <c r="E8" s="459"/>
      <c r="F8" s="460"/>
      <c r="G8" s="460"/>
      <c r="H8" s="461"/>
      <c r="I8" s="460"/>
      <c r="J8" s="461"/>
      <c r="K8" s="462"/>
      <c r="L8" s="462"/>
      <c r="M8" s="463"/>
      <c r="N8" s="464"/>
      <c r="O8" s="141" t="s">
        <v>38</v>
      </c>
      <c r="P8" s="786">
        <v>4</v>
      </c>
      <c r="Q8" s="457"/>
      <c r="R8" s="457"/>
      <c r="S8" s="342"/>
      <c r="T8" s="457"/>
      <c r="U8" s="342"/>
    </row>
    <row r="9" spans="1:21" s="344" customFormat="1">
      <c r="A9" s="457">
        <v>5</v>
      </c>
      <c r="B9" s="141" t="s">
        <v>83</v>
      </c>
      <c r="C9" s="787">
        <v>1</v>
      </c>
      <c r="D9" s="458"/>
      <c r="E9" s="459"/>
      <c r="F9" s="460"/>
      <c r="G9" s="460"/>
      <c r="H9" s="461"/>
      <c r="I9" s="460"/>
      <c r="J9" s="461"/>
      <c r="K9" s="462"/>
      <c r="L9" s="462"/>
      <c r="M9" s="463"/>
      <c r="N9" s="464"/>
      <c r="O9" s="141" t="s">
        <v>33</v>
      </c>
      <c r="P9" s="786">
        <v>4</v>
      </c>
      <c r="Q9" s="457"/>
      <c r="R9" s="457"/>
      <c r="S9" s="342"/>
      <c r="T9" s="457"/>
      <c r="U9" s="342"/>
    </row>
    <row r="10" spans="1:21" s="741" customFormat="1">
      <c r="A10" s="786">
        <v>6</v>
      </c>
      <c r="B10" s="134" t="s">
        <v>85</v>
      </c>
      <c r="C10" s="787">
        <v>9</v>
      </c>
      <c r="D10" s="458"/>
      <c r="E10" s="788"/>
      <c r="F10" s="789"/>
      <c r="G10" s="789"/>
      <c r="H10" s="790"/>
      <c r="I10" s="789"/>
      <c r="J10" s="790"/>
      <c r="K10" s="791"/>
      <c r="L10" s="791"/>
      <c r="M10" s="792"/>
      <c r="N10" s="464"/>
      <c r="O10" s="134" t="s">
        <v>37</v>
      </c>
      <c r="P10" s="786">
        <v>3</v>
      </c>
      <c r="Q10" s="786"/>
      <c r="R10" s="786"/>
      <c r="S10" s="162"/>
      <c r="T10" s="786"/>
      <c r="U10" s="162"/>
    </row>
    <row r="11" spans="1:21" s="344" customFormat="1">
      <c r="A11" s="457">
        <v>7</v>
      </c>
      <c r="B11" s="141" t="s">
        <v>17</v>
      </c>
      <c r="C11" s="787">
        <v>11</v>
      </c>
      <c r="D11" s="458"/>
      <c r="E11" s="459"/>
      <c r="F11" s="460"/>
      <c r="G11" s="460"/>
      <c r="H11" s="461"/>
      <c r="I11" s="460"/>
      <c r="J11" s="461"/>
      <c r="K11" s="462"/>
      <c r="L11" s="462"/>
      <c r="M11" s="463"/>
      <c r="N11" s="464"/>
      <c r="O11" s="141" t="s">
        <v>259</v>
      </c>
      <c r="P11" s="786">
        <v>3</v>
      </c>
      <c r="Q11" s="457"/>
      <c r="R11" s="457"/>
      <c r="S11" s="342"/>
      <c r="T11" s="457"/>
      <c r="U11" s="342"/>
    </row>
    <row r="12" spans="1:21">
      <c r="A12" s="457">
        <v>8</v>
      </c>
      <c r="B12" s="141" t="s">
        <v>26</v>
      </c>
      <c r="C12" s="787">
        <v>4</v>
      </c>
      <c r="D12" s="458"/>
      <c r="E12" s="459"/>
      <c r="F12" s="460"/>
      <c r="G12" s="460"/>
      <c r="H12" s="461"/>
      <c r="I12" s="460"/>
      <c r="J12" s="461"/>
      <c r="K12" s="462"/>
      <c r="L12" s="462"/>
      <c r="M12" s="463"/>
      <c r="N12" s="348"/>
      <c r="O12" s="141" t="s">
        <v>260</v>
      </c>
      <c r="P12" s="786">
        <v>5</v>
      </c>
      <c r="Q12" s="457"/>
      <c r="R12" s="457"/>
      <c r="S12" s="342"/>
      <c r="T12" s="457"/>
      <c r="U12" s="342"/>
    </row>
    <row r="13" spans="1:21" s="344" customFormat="1">
      <c r="A13" s="457">
        <v>9</v>
      </c>
      <c r="B13" s="141" t="s">
        <v>11</v>
      </c>
      <c r="C13" s="787">
        <v>10</v>
      </c>
      <c r="D13" s="458"/>
      <c r="E13" s="459"/>
      <c r="F13" s="460"/>
      <c r="G13" s="460"/>
      <c r="H13" s="461"/>
      <c r="I13" s="460"/>
      <c r="J13" s="461"/>
      <c r="K13" s="462"/>
      <c r="L13" s="462"/>
      <c r="M13" s="463"/>
      <c r="N13" s="464"/>
      <c r="O13" s="141" t="s">
        <v>25</v>
      </c>
      <c r="P13" s="786">
        <v>11</v>
      </c>
      <c r="Q13" s="457"/>
      <c r="R13" s="457"/>
      <c r="S13" s="342"/>
      <c r="T13" s="457"/>
      <c r="U13" s="342"/>
    </row>
    <row r="14" spans="1:21" s="344" customFormat="1">
      <c r="A14" s="548">
        <v>10</v>
      </c>
      <c r="B14" s="473" t="s">
        <v>90</v>
      </c>
      <c r="C14" s="787">
        <v>1</v>
      </c>
      <c r="D14" s="458"/>
      <c r="E14" s="459"/>
      <c r="F14" s="460"/>
      <c r="G14" s="460"/>
      <c r="H14" s="461"/>
      <c r="I14" s="460"/>
      <c r="J14" s="461"/>
      <c r="K14" s="462"/>
      <c r="L14" s="462"/>
      <c r="M14" s="463"/>
      <c r="N14" s="464"/>
      <c r="O14" s="141" t="s">
        <v>21</v>
      </c>
      <c r="P14" s="786">
        <v>16</v>
      </c>
      <c r="Q14" s="457"/>
      <c r="R14" s="457"/>
      <c r="S14" s="342"/>
      <c r="T14" s="457"/>
      <c r="U14" s="342"/>
    </row>
    <row r="15" spans="1:21" s="344" customFormat="1">
      <c r="A15" s="457">
        <v>11</v>
      </c>
      <c r="B15" s="141" t="s">
        <v>92</v>
      </c>
      <c r="C15" s="787">
        <v>1</v>
      </c>
      <c r="D15" s="458"/>
      <c r="E15" s="459"/>
      <c r="F15" s="460"/>
      <c r="G15" s="460"/>
      <c r="H15" s="461"/>
      <c r="I15" s="460"/>
      <c r="J15" s="461"/>
      <c r="K15" s="462"/>
      <c r="L15" s="462"/>
      <c r="M15" s="463"/>
      <c r="N15" s="464"/>
      <c r="O15" s="141" t="s">
        <v>20</v>
      </c>
      <c r="P15" s="786">
        <v>7</v>
      </c>
      <c r="Q15" s="457"/>
      <c r="R15" s="457"/>
      <c r="S15" s="342"/>
      <c r="T15" s="457"/>
      <c r="U15" s="342"/>
    </row>
    <row r="16" spans="1:21" s="344" customFormat="1">
      <c r="A16" s="457">
        <v>12</v>
      </c>
      <c r="B16" s="141" t="s">
        <v>51</v>
      </c>
      <c r="C16" s="787">
        <v>1</v>
      </c>
      <c r="D16" s="458"/>
      <c r="E16" s="459"/>
      <c r="F16" s="460"/>
      <c r="G16" s="460"/>
      <c r="H16" s="461"/>
      <c r="I16" s="460"/>
      <c r="J16" s="461"/>
      <c r="K16" s="462"/>
      <c r="L16" s="462"/>
      <c r="M16" s="463"/>
      <c r="N16" s="464"/>
      <c r="O16" s="141" t="s">
        <v>261</v>
      </c>
      <c r="P16" s="786">
        <v>15</v>
      </c>
      <c r="Q16" s="457"/>
      <c r="R16" s="457"/>
      <c r="S16" s="342"/>
      <c r="T16" s="457"/>
      <c r="U16" s="342"/>
    </row>
    <row r="17" spans="1:21" s="344" customFormat="1">
      <c r="A17" s="457">
        <v>13</v>
      </c>
      <c r="B17" s="141" t="s">
        <v>52</v>
      </c>
      <c r="C17" s="787">
        <v>1</v>
      </c>
      <c r="D17" s="458"/>
      <c r="E17" s="459"/>
      <c r="F17" s="460"/>
      <c r="G17" s="460"/>
      <c r="H17" s="461"/>
      <c r="I17" s="460"/>
      <c r="J17" s="461"/>
      <c r="K17" s="462"/>
      <c r="L17" s="462"/>
      <c r="M17" s="463"/>
      <c r="N17" s="464" t="s">
        <v>262</v>
      </c>
      <c r="O17" s="141" t="s">
        <v>263</v>
      </c>
      <c r="P17" s="786">
        <v>9</v>
      </c>
      <c r="Q17" s="457"/>
      <c r="R17" s="457"/>
      <c r="S17" s="342"/>
      <c r="T17" s="457"/>
      <c r="U17" s="342"/>
    </row>
    <row r="18" spans="1:21">
      <c r="A18" s="548">
        <v>14</v>
      </c>
      <c r="B18" s="473" t="s">
        <v>28</v>
      </c>
      <c r="C18" s="787">
        <v>2</v>
      </c>
      <c r="D18" s="458"/>
      <c r="E18" s="459"/>
      <c r="F18" s="460"/>
      <c r="G18" s="460"/>
      <c r="H18" s="461"/>
      <c r="I18" s="460"/>
      <c r="J18" s="461"/>
      <c r="K18" s="462"/>
      <c r="L18" s="462"/>
      <c r="M18" s="463"/>
      <c r="N18" s="348"/>
      <c r="O18" s="141" t="s">
        <v>264</v>
      </c>
      <c r="P18" s="786">
        <v>6</v>
      </c>
      <c r="Q18" s="457"/>
      <c r="R18" s="457"/>
      <c r="S18" s="342"/>
      <c r="T18" s="457"/>
      <c r="U18" s="342"/>
    </row>
    <row r="19" spans="1:21" s="344" customFormat="1">
      <c r="A19" s="457">
        <v>15</v>
      </c>
      <c r="B19" s="141" t="s">
        <v>10</v>
      </c>
      <c r="C19" s="458">
        <v>123</v>
      </c>
      <c r="D19" s="458"/>
      <c r="E19" s="459"/>
      <c r="F19" s="460"/>
      <c r="G19" s="460"/>
      <c r="H19" s="461"/>
      <c r="I19" s="460"/>
      <c r="J19" s="461"/>
      <c r="K19" s="462"/>
      <c r="L19" s="462"/>
      <c r="M19" s="463"/>
      <c r="N19" s="464"/>
      <c r="O19" s="141" t="s">
        <v>265</v>
      </c>
      <c r="P19" s="786">
        <v>12</v>
      </c>
      <c r="Q19" s="457"/>
      <c r="R19" s="457"/>
      <c r="S19" s="342"/>
      <c r="T19" s="457"/>
      <c r="U19" s="342"/>
    </row>
    <row r="20" spans="1:21" s="344" customFormat="1">
      <c r="A20" s="548">
        <v>16</v>
      </c>
      <c r="B20" s="473" t="s">
        <v>98</v>
      </c>
      <c r="C20" s="787">
        <v>0</v>
      </c>
      <c r="D20" s="458"/>
      <c r="E20" s="459"/>
      <c r="F20" s="460"/>
      <c r="G20" s="460"/>
      <c r="H20" s="461"/>
      <c r="I20" s="460"/>
      <c r="J20" s="461"/>
      <c r="K20" s="462"/>
      <c r="L20" s="462"/>
      <c r="M20" s="463"/>
      <c r="N20" s="464"/>
      <c r="O20" s="141" t="s">
        <v>266</v>
      </c>
      <c r="P20" s="786">
        <v>15</v>
      </c>
      <c r="Q20" s="457"/>
      <c r="R20" s="457"/>
      <c r="S20" s="342"/>
      <c r="T20" s="457"/>
      <c r="U20" s="342"/>
    </row>
    <row r="21" spans="1:21" s="344" customFormat="1">
      <c r="A21" s="457">
        <v>17</v>
      </c>
      <c r="B21" s="141" t="s">
        <v>35</v>
      </c>
      <c r="C21" s="787">
        <v>10</v>
      </c>
      <c r="D21" s="458"/>
      <c r="E21" s="459"/>
      <c r="F21" s="460"/>
      <c r="G21" s="460"/>
      <c r="H21" s="461"/>
      <c r="I21" s="460"/>
      <c r="J21" s="461"/>
      <c r="K21" s="462"/>
      <c r="L21" s="462"/>
      <c r="M21" s="463"/>
      <c r="N21" s="464"/>
      <c r="O21" s="141" t="s">
        <v>41</v>
      </c>
      <c r="P21" s="786">
        <v>7</v>
      </c>
      <c r="Q21" s="457"/>
      <c r="R21" s="457"/>
      <c r="S21" s="342"/>
      <c r="T21" s="457"/>
      <c r="U21" s="342"/>
    </row>
    <row r="22" spans="1:21" s="344" customFormat="1">
      <c r="A22" s="548">
        <v>18</v>
      </c>
      <c r="B22" s="473" t="s">
        <v>54</v>
      </c>
      <c r="C22" s="787">
        <v>1</v>
      </c>
      <c r="D22" s="458"/>
      <c r="E22" s="459"/>
      <c r="F22" s="460"/>
      <c r="G22" s="460"/>
      <c r="H22" s="461"/>
      <c r="I22" s="460"/>
      <c r="J22" s="461"/>
      <c r="K22" s="462"/>
      <c r="L22" s="462"/>
      <c r="M22" s="463"/>
      <c r="N22" s="464"/>
      <c r="O22" s="141" t="s">
        <v>44</v>
      </c>
      <c r="P22" s="786">
        <v>23</v>
      </c>
      <c r="Q22" s="457"/>
      <c r="R22" s="457"/>
      <c r="S22" s="342"/>
      <c r="T22" s="457"/>
      <c r="U22" s="342"/>
    </row>
    <row r="23" spans="1:21" s="344" customFormat="1">
      <c r="A23" s="457">
        <v>19</v>
      </c>
      <c r="B23" s="141" t="s">
        <v>102</v>
      </c>
      <c r="C23" s="787">
        <v>0</v>
      </c>
      <c r="D23" s="458"/>
      <c r="E23" s="459"/>
      <c r="F23" s="460"/>
      <c r="G23" s="460"/>
      <c r="H23" s="461"/>
      <c r="I23" s="460"/>
      <c r="J23" s="461"/>
      <c r="K23" s="462"/>
      <c r="L23" s="462"/>
      <c r="M23" s="463"/>
      <c r="N23" s="716"/>
      <c r="O23" s="717" t="s">
        <v>29</v>
      </c>
      <c r="P23" s="786">
        <v>7</v>
      </c>
      <c r="Q23" s="718"/>
      <c r="R23" s="718"/>
      <c r="S23" s="661"/>
      <c r="T23" s="718"/>
      <c r="U23" s="661"/>
    </row>
    <row r="24" spans="1:21" s="741" customFormat="1">
      <c r="A24" s="793">
        <v>20</v>
      </c>
      <c r="B24" s="137" t="s">
        <v>104</v>
      </c>
      <c r="C24" s="787">
        <v>3</v>
      </c>
      <c r="D24" s="458"/>
      <c r="E24" s="788"/>
      <c r="F24" s="789"/>
      <c r="G24" s="789"/>
      <c r="H24" s="790"/>
      <c r="I24" s="789"/>
      <c r="J24" s="790"/>
      <c r="K24" s="791"/>
      <c r="L24" s="791"/>
      <c r="M24" s="792"/>
      <c r="N24" s="231"/>
      <c r="O24" s="767" t="s">
        <v>14</v>
      </c>
      <c r="P24" s="768">
        <v>7</v>
      </c>
      <c r="Q24" s="767"/>
      <c r="R24" s="767"/>
      <c r="S24" s="767"/>
      <c r="T24" s="767"/>
      <c r="U24" s="767"/>
    </row>
    <row r="25" spans="1:21" s="344" customFormat="1">
      <c r="A25" s="457">
        <v>21</v>
      </c>
      <c r="B25" s="141" t="s">
        <v>106</v>
      </c>
      <c r="C25" s="787">
        <v>0</v>
      </c>
      <c r="D25" s="458"/>
      <c r="E25" s="459"/>
      <c r="F25" s="460"/>
      <c r="G25" s="460"/>
      <c r="H25" s="461"/>
      <c r="I25" s="460"/>
      <c r="J25" s="461"/>
      <c r="K25" s="462"/>
      <c r="L25" s="462"/>
      <c r="M25" s="463"/>
      <c r="N25" s="464"/>
      <c r="O25" s="715" t="s">
        <v>34</v>
      </c>
      <c r="P25" s="768">
        <v>27</v>
      </c>
      <c r="Q25" s="715"/>
      <c r="R25" s="715"/>
      <c r="S25" s="715"/>
      <c r="T25" s="715"/>
      <c r="U25" s="715"/>
    </row>
    <row r="26" spans="1:21" s="344" customFormat="1">
      <c r="A26" s="721">
        <v>22</v>
      </c>
      <c r="B26" s="722" t="s">
        <v>237</v>
      </c>
      <c r="C26" s="787">
        <v>0</v>
      </c>
      <c r="D26" s="458"/>
      <c r="E26" s="459"/>
      <c r="F26" s="460"/>
      <c r="G26" s="460"/>
      <c r="H26" s="461"/>
      <c r="I26" s="460"/>
      <c r="J26" s="461"/>
      <c r="K26" s="462"/>
      <c r="L26" s="462"/>
      <c r="M26" s="463"/>
      <c r="N26" s="464"/>
      <c r="O26" s="723" t="s">
        <v>13</v>
      </c>
      <c r="P26" s="1286">
        <f>SUM(P6:P25)</f>
        <v>189</v>
      </c>
      <c r="Q26" s="715"/>
      <c r="R26" s="715"/>
      <c r="S26" s="715"/>
      <c r="T26" s="715"/>
      <c r="U26" s="715"/>
    </row>
    <row r="27" spans="1:21" s="344" customFormat="1">
      <c r="A27" s="721">
        <v>23</v>
      </c>
      <c r="B27" s="722" t="s">
        <v>108</v>
      </c>
      <c r="C27" s="787">
        <v>0</v>
      </c>
      <c r="D27" s="458"/>
      <c r="E27" s="459"/>
      <c r="F27" s="460"/>
      <c r="G27" s="460"/>
      <c r="H27" s="461"/>
      <c r="I27" s="460"/>
      <c r="J27" s="461"/>
      <c r="K27" s="462"/>
      <c r="L27" s="462"/>
      <c r="M27" s="463"/>
      <c r="N27" s="464"/>
      <c r="O27" s="769"/>
      <c r="P27" s="770"/>
      <c r="Q27" s="716"/>
      <c r="R27" s="716"/>
      <c r="S27" s="716"/>
      <c r="T27" s="716"/>
      <c r="U27" s="716"/>
    </row>
    <row r="28" spans="1:21">
      <c r="A28" s="1696" t="s">
        <v>267</v>
      </c>
      <c r="B28" s="1697"/>
      <c r="C28" s="1301">
        <f>SUM(C5:C26)</f>
        <v>189</v>
      </c>
      <c r="D28" s="849"/>
      <c r="E28" s="459"/>
      <c r="F28" s="850"/>
      <c r="G28" s="850"/>
      <c r="H28" s="850"/>
      <c r="I28" s="850"/>
      <c r="J28" s="850"/>
      <c r="K28" s="850"/>
      <c r="L28" s="850"/>
      <c r="M28" s="850"/>
      <c r="N28" s="232"/>
      <c r="O28" s="231"/>
      <c r="P28" s="172"/>
      <c r="Q28" s="172"/>
      <c r="R28" s="172"/>
      <c r="S28" s="172"/>
      <c r="T28" s="172"/>
      <c r="U28" s="172"/>
    </row>
    <row r="29" spans="1:21" s="344" customFormat="1">
      <c r="A29" s="457"/>
      <c r="B29" s="473" t="s">
        <v>16</v>
      </c>
      <c r="C29" s="786"/>
      <c r="D29" s="457"/>
      <c r="E29" s="457"/>
      <c r="F29" s="460"/>
      <c r="G29" s="460"/>
      <c r="H29" s="461"/>
      <c r="I29" s="460"/>
      <c r="J29" s="461"/>
      <c r="K29" s="462"/>
      <c r="L29" s="462"/>
      <c r="M29" s="693"/>
      <c r="N29" s="464"/>
      <c r="O29" s="464"/>
      <c r="P29" s="502"/>
      <c r="Q29" s="502"/>
      <c r="R29" s="502"/>
      <c r="S29" s="502"/>
      <c r="T29" s="502"/>
      <c r="U29" s="502"/>
    </row>
    <row r="30" spans="1:21">
      <c r="A30" s="457"/>
      <c r="B30" s="473" t="s">
        <v>269</v>
      </c>
      <c r="C30" s="786"/>
      <c r="D30" s="457"/>
      <c r="E30" s="457"/>
      <c r="F30" s="460"/>
      <c r="G30" s="460"/>
      <c r="H30" s="461"/>
      <c r="I30" s="460"/>
      <c r="J30" s="461"/>
      <c r="K30" s="462"/>
      <c r="L30" s="462"/>
      <c r="M30" s="852"/>
      <c r="N30" s="231"/>
      <c r="O30" s="231"/>
      <c r="P30" s="172"/>
      <c r="Q30" s="172"/>
      <c r="R30" s="172"/>
      <c r="S30" s="172"/>
      <c r="T30" s="172"/>
      <c r="U30" s="172"/>
    </row>
    <row r="31" spans="1:21">
      <c r="A31" s="1696" t="s">
        <v>270</v>
      </c>
      <c r="B31" s="1697"/>
      <c r="C31" s="1293">
        <v>189</v>
      </c>
      <c r="D31" s="849"/>
      <c r="E31" s="849"/>
      <c r="F31" s="850"/>
      <c r="G31" s="850"/>
      <c r="H31" s="851"/>
      <c r="I31" s="850"/>
      <c r="J31" s="851"/>
      <c r="K31" s="462"/>
      <c r="L31" s="462"/>
      <c r="M31" s="853"/>
      <c r="N31" s="232"/>
      <c r="O31" s="231"/>
      <c r="P31" s="172"/>
      <c r="Q31" s="172"/>
      <c r="R31" s="172"/>
      <c r="S31" s="172"/>
      <c r="T31" s="172"/>
      <c r="U31" s="172"/>
    </row>
    <row r="32" spans="1:21">
      <c r="A32" s="1694" t="s">
        <v>271</v>
      </c>
      <c r="B32" s="1695"/>
      <c r="C32" s="457">
        <v>250</v>
      </c>
      <c r="D32" s="457">
        <v>371</v>
      </c>
      <c r="E32" s="457">
        <v>622</v>
      </c>
      <c r="F32" s="460">
        <v>145</v>
      </c>
      <c r="G32" s="460">
        <v>129</v>
      </c>
      <c r="H32" s="461"/>
      <c r="I32" s="460"/>
      <c r="J32" s="461"/>
      <c r="K32" s="959">
        <v>4</v>
      </c>
      <c r="L32" s="960"/>
      <c r="M32" s="852">
        <v>8</v>
      </c>
      <c r="N32" s="231"/>
      <c r="O32" s="231"/>
      <c r="P32" s="172"/>
      <c r="Q32" s="172"/>
      <c r="R32" s="172"/>
      <c r="S32" s="172"/>
      <c r="T32" s="172"/>
      <c r="U32" s="172"/>
    </row>
  </sheetData>
  <mergeCells count="8">
    <mergeCell ref="A32:B32"/>
    <mergeCell ref="A31:B31"/>
    <mergeCell ref="A1:U1"/>
    <mergeCell ref="A2:U2"/>
    <mergeCell ref="A3:U3"/>
    <mergeCell ref="R4:S4"/>
    <mergeCell ref="T4:U4"/>
    <mergeCell ref="A28:B28"/>
  </mergeCells>
  <pageMargins left="0.7" right="0.7" top="0.75" bottom="0.75" header="0.3" footer="0.3"/>
  <pageSetup scale="85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sqref="A1:O1"/>
    </sheetView>
  </sheetViews>
  <sheetFormatPr defaultRowHeight="15"/>
  <sheetData>
    <row r="1" spans="1:15" ht="15.75">
      <c r="A1" s="1482">
        <v>78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</row>
    <row r="2" spans="1:15" ht="15.75">
      <c r="A2" s="1596" t="s">
        <v>308</v>
      </c>
      <c r="B2" s="1596"/>
      <c r="C2" s="1596"/>
      <c r="D2" s="1596"/>
      <c r="E2" s="1596"/>
      <c r="F2" s="1596"/>
      <c r="G2" s="1596"/>
      <c r="H2" s="1596"/>
      <c r="I2" s="244"/>
      <c r="J2" s="1597" t="s">
        <v>309</v>
      </c>
      <c r="K2" s="1597"/>
      <c r="L2" s="1597"/>
      <c r="M2" s="1597"/>
      <c r="N2" s="1597"/>
      <c r="O2" s="1597"/>
    </row>
    <row r="3" spans="1:15" ht="15.75">
      <c r="A3" s="1570" t="s">
        <v>208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  <c r="L3" s="1570"/>
      <c r="M3" s="1570"/>
      <c r="N3" s="1570"/>
      <c r="O3" s="1570"/>
    </row>
    <row r="4" spans="1:15" ht="38.25">
      <c r="A4" s="245" t="s">
        <v>130</v>
      </c>
      <c r="B4" s="246" t="s">
        <v>131</v>
      </c>
      <c r="C4" s="246" t="s">
        <v>310</v>
      </c>
      <c r="D4" s="246" t="s">
        <v>311</v>
      </c>
      <c r="E4" s="246" t="s">
        <v>211</v>
      </c>
      <c r="F4" s="246" t="s">
        <v>212</v>
      </c>
      <c r="G4" s="247" t="s">
        <v>213</v>
      </c>
      <c r="H4" s="248" t="s">
        <v>312</v>
      </c>
      <c r="I4" s="249"/>
      <c r="J4" s="248" t="s">
        <v>310</v>
      </c>
      <c r="K4" s="248" t="s">
        <v>311</v>
      </c>
      <c r="L4" s="248" t="s">
        <v>211</v>
      </c>
      <c r="M4" s="248" t="s">
        <v>212</v>
      </c>
      <c r="N4" s="248" t="s">
        <v>213</v>
      </c>
      <c r="O4" s="248" t="s">
        <v>312</v>
      </c>
    </row>
    <row r="5" spans="1:15">
      <c r="A5" s="250">
        <v>1</v>
      </c>
      <c r="B5" s="251" t="s">
        <v>78</v>
      </c>
      <c r="C5" s="251">
        <v>11</v>
      </c>
      <c r="D5" s="252">
        <v>31</v>
      </c>
      <c r="E5" s="252">
        <v>4</v>
      </c>
      <c r="F5" s="252">
        <v>0.06</v>
      </c>
      <c r="G5" s="253">
        <f>F5/E5%</f>
        <v>1.5</v>
      </c>
      <c r="H5" s="254">
        <f>E5-F5</f>
        <v>3.94</v>
      </c>
      <c r="I5" s="255"/>
      <c r="J5" s="350">
        <v>0</v>
      </c>
      <c r="K5" s="349">
        <v>0</v>
      </c>
      <c r="L5" s="349">
        <v>0</v>
      </c>
      <c r="M5" s="349">
        <v>0</v>
      </c>
      <c r="N5" s="349">
        <v>0</v>
      </c>
      <c r="O5" s="349">
        <v>0</v>
      </c>
    </row>
    <row r="6" spans="1:15" s="357" customFormat="1">
      <c r="A6" s="479">
        <v>2</v>
      </c>
      <c r="B6" s="480" t="s">
        <v>27</v>
      </c>
      <c r="C6" s="480">
        <v>14</v>
      </c>
      <c r="D6" s="481">
        <v>15.62</v>
      </c>
      <c r="E6" s="481">
        <v>35.28</v>
      </c>
      <c r="F6" s="481">
        <v>0</v>
      </c>
      <c r="G6" s="482">
        <f t="shared" ref="G6:G25" si="0">F6/E6%</f>
        <v>0</v>
      </c>
      <c r="H6" s="483">
        <f t="shared" ref="H6:H25" si="1">E6-F6</f>
        <v>35.28</v>
      </c>
      <c r="I6" s="484"/>
      <c r="J6" s="485">
        <v>0</v>
      </c>
      <c r="K6" s="483">
        <v>0</v>
      </c>
      <c r="L6" s="483">
        <v>0</v>
      </c>
      <c r="M6" s="483">
        <v>0</v>
      </c>
      <c r="N6" s="483">
        <v>0</v>
      </c>
      <c r="O6" s="483">
        <v>0</v>
      </c>
    </row>
    <row r="7" spans="1:15" s="357" customFormat="1">
      <c r="A7" s="479">
        <v>3</v>
      </c>
      <c r="B7" s="480" t="s">
        <v>46</v>
      </c>
      <c r="C7" s="480">
        <v>17</v>
      </c>
      <c r="D7" s="481">
        <v>57.66</v>
      </c>
      <c r="E7" s="481">
        <v>32.450000000000003</v>
      </c>
      <c r="F7" s="481">
        <v>0</v>
      </c>
      <c r="G7" s="482">
        <f t="shared" si="0"/>
        <v>0</v>
      </c>
      <c r="H7" s="483">
        <f t="shared" si="1"/>
        <v>32.450000000000003</v>
      </c>
      <c r="I7" s="484"/>
      <c r="J7" s="485">
        <v>0</v>
      </c>
      <c r="K7" s="483">
        <v>0</v>
      </c>
      <c r="L7" s="483">
        <v>0</v>
      </c>
      <c r="M7" s="483">
        <v>0</v>
      </c>
      <c r="N7" s="483">
        <v>0</v>
      </c>
      <c r="O7" s="483">
        <f>L7-M7</f>
        <v>0</v>
      </c>
    </row>
    <row r="8" spans="1:15" s="357" customFormat="1">
      <c r="A8" s="479">
        <v>4</v>
      </c>
      <c r="B8" s="480" t="s">
        <v>32</v>
      </c>
      <c r="C8" s="480">
        <v>10</v>
      </c>
      <c r="D8" s="481">
        <v>11.6</v>
      </c>
      <c r="E8" s="481">
        <v>5.29</v>
      </c>
      <c r="F8" s="481">
        <v>0</v>
      </c>
      <c r="G8" s="482">
        <f t="shared" si="0"/>
        <v>0</v>
      </c>
      <c r="H8" s="483">
        <f t="shared" si="1"/>
        <v>5.29</v>
      </c>
      <c r="I8" s="484"/>
      <c r="J8" s="485">
        <v>0</v>
      </c>
      <c r="K8" s="483">
        <v>0</v>
      </c>
      <c r="L8" s="483">
        <v>0</v>
      </c>
      <c r="M8" s="483">
        <v>0</v>
      </c>
      <c r="N8" s="483">
        <v>0</v>
      </c>
      <c r="O8" s="483">
        <v>0</v>
      </c>
    </row>
    <row r="9" spans="1:15" s="357" customFormat="1">
      <c r="A9" s="479">
        <v>5</v>
      </c>
      <c r="B9" s="480" t="s">
        <v>83</v>
      </c>
      <c r="C9" s="480">
        <v>2</v>
      </c>
      <c r="D9" s="481">
        <v>7.77</v>
      </c>
      <c r="E9" s="481">
        <v>7.77</v>
      </c>
      <c r="F9" s="481">
        <v>0</v>
      </c>
      <c r="G9" s="482">
        <v>0</v>
      </c>
      <c r="H9" s="483">
        <f t="shared" si="1"/>
        <v>7.77</v>
      </c>
      <c r="I9" s="484"/>
      <c r="J9" s="485">
        <v>0</v>
      </c>
      <c r="K9" s="483">
        <v>0</v>
      </c>
      <c r="L9" s="483">
        <v>0</v>
      </c>
      <c r="M9" s="483">
        <v>0</v>
      </c>
      <c r="N9" s="483">
        <v>0</v>
      </c>
      <c r="O9" s="483">
        <v>0</v>
      </c>
    </row>
    <row r="10" spans="1:15" s="357" customFormat="1">
      <c r="A10" s="479">
        <v>6</v>
      </c>
      <c r="B10" s="480" t="s">
        <v>85</v>
      </c>
      <c r="C10" s="480">
        <v>67</v>
      </c>
      <c r="D10" s="481">
        <v>158.6</v>
      </c>
      <c r="E10" s="481">
        <v>67</v>
      </c>
      <c r="F10" s="481">
        <v>23</v>
      </c>
      <c r="G10" s="482">
        <f t="shared" si="0"/>
        <v>34.328358208955223</v>
      </c>
      <c r="H10" s="483">
        <f t="shared" si="1"/>
        <v>44</v>
      </c>
      <c r="I10" s="484"/>
      <c r="J10" s="485">
        <v>0</v>
      </c>
      <c r="K10" s="483">
        <v>0</v>
      </c>
      <c r="L10" s="483">
        <v>0</v>
      </c>
      <c r="M10" s="483">
        <v>0</v>
      </c>
      <c r="N10" s="483">
        <v>0</v>
      </c>
      <c r="O10" s="483">
        <v>0</v>
      </c>
    </row>
    <row r="11" spans="1:15" s="357" customFormat="1">
      <c r="A11" s="479">
        <v>7</v>
      </c>
      <c r="B11" s="480" t="s">
        <v>17</v>
      </c>
      <c r="C11" s="480">
        <v>274</v>
      </c>
      <c r="D11" s="481">
        <v>427</v>
      </c>
      <c r="E11" s="481">
        <v>50</v>
      </c>
      <c r="F11" s="481">
        <v>10</v>
      </c>
      <c r="G11" s="482">
        <f t="shared" si="0"/>
        <v>20</v>
      </c>
      <c r="H11" s="483">
        <f t="shared" si="1"/>
        <v>40</v>
      </c>
      <c r="I11" s="484"/>
      <c r="J11" s="485">
        <v>0</v>
      </c>
      <c r="K11" s="483">
        <v>0</v>
      </c>
      <c r="L11" s="483">
        <v>0</v>
      </c>
      <c r="M11" s="483">
        <v>0</v>
      </c>
      <c r="N11" s="483">
        <v>0</v>
      </c>
      <c r="O11" s="483">
        <f>L11-M11</f>
        <v>0</v>
      </c>
    </row>
    <row r="12" spans="1:15" s="357" customFormat="1">
      <c r="A12" s="479">
        <v>8</v>
      </c>
      <c r="B12" s="480" t="s">
        <v>26</v>
      </c>
      <c r="C12" s="480">
        <v>0</v>
      </c>
      <c r="D12" s="481">
        <v>0</v>
      </c>
      <c r="E12" s="481">
        <v>0</v>
      </c>
      <c r="F12" s="481">
        <v>0</v>
      </c>
      <c r="G12" s="482">
        <v>0</v>
      </c>
      <c r="H12" s="483">
        <f t="shared" si="1"/>
        <v>0</v>
      </c>
      <c r="I12" s="484"/>
      <c r="J12" s="485">
        <v>0</v>
      </c>
      <c r="K12" s="483">
        <v>0</v>
      </c>
      <c r="L12" s="483">
        <v>0</v>
      </c>
      <c r="M12" s="483">
        <v>0</v>
      </c>
      <c r="N12" s="483">
        <v>0</v>
      </c>
      <c r="O12" s="483">
        <v>0</v>
      </c>
    </row>
    <row r="13" spans="1:15" s="357" customFormat="1">
      <c r="A13" s="479">
        <v>9</v>
      </c>
      <c r="B13" s="480" t="s">
        <v>11</v>
      </c>
      <c r="C13" s="480">
        <v>4</v>
      </c>
      <c r="D13" s="481">
        <v>6.98</v>
      </c>
      <c r="E13" s="481">
        <v>1.0000000000000001E-5</v>
      </c>
      <c r="F13" s="481">
        <v>0</v>
      </c>
      <c r="G13" s="482">
        <f t="shared" si="0"/>
        <v>0</v>
      </c>
      <c r="H13" s="483">
        <f t="shared" si="1"/>
        <v>1.0000000000000001E-5</v>
      </c>
      <c r="I13" s="484"/>
      <c r="J13" s="485">
        <v>0</v>
      </c>
      <c r="K13" s="483">
        <v>0</v>
      </c>
      <c r="L13" s="483">
        <v>0</v>
      </c>
      <c r="M13" s="483">
        <v>0</v>
      </c>
      <c r="N13" s="483">
        <v>0</v>
      </c>
      <c r="O13" s="483">
        <v>0</v>
      </c>
    </row>
    <row r="14" spans="1:15" s="357" customFormat="1">
      <c r="A14" s="479">
        <v>10</v>
      </c>
      <c r="B14" s="480" t="s">
        <v>90</v>
      </c>
      <c r="C14" s="480">
        <v>9</v>
      </c>
      <c r="D14" s="481">
        <v>24.97</v>
      </c>
      <c r="E14" s="481">
        <v>30.4</v>
      </c>
      <c r="F14" s="481">
        <v>0</v>
      </c>
      <c r="G14" s="482">
        <f t="shared" si="0"/>
        <v>0</v>
      </c>
      <c r="H14" s="483">
        <f t="shared" si="1"/>
        <v>30.4</v>
      </c>
      <c r="I14" s="484"/>
      <c r="J14" s="485">
        <v>1</v>
      </c>
      <c r="K14" s="483">
        <v>1.51</v>
      </c>
      <c r="L14" s="483">
        <v>0</v>
      </c>
      <c r="M14" s="483">
        <v>0</v>
      </c>
      <c r="N14" s="483">
        <v>0</v>
      </c>
      <c r="O14" s="483">
        <v>0</v>
      </c>
    </row>
    <row r="15" spans="1:15" s="357" customFormat="1">
      <c r="A15" s="479">
        <v>11</v>
      </c>
      <c r="B15" s="480" t="s">
        <v>92</v>
      </c>
      <c r="C15" s="480">
        <v>22</v>
      </c>
      <c r="D15" s="481">
        <v>42.21</v>
      </c>
      <c r="E15" s="481">
        <v>42.21</v>
      </c>
      <c r="F15" s="481">
        <v>0</v>
      </c>
      <c r="G15" s="482">
        <f t="shared" si="0"/>
        <v>0</v>
      </c>
      <c r="H15" s="483">
        <f t="shared" si="1"/>
        <v>42.21</v>
      </c>
      <c r="I15" s="484"/>
      <c r="J15" s="485">
        <v>0</v>
      </c>
      <c r="K15" s="483">
        <v>0</v>
      </c>
      <c r="L15" s="483">
        <v>0</v>
      </c>
      <c r="M15" s="483">
        <v>0</v>
      </c>
      <c r="N15" s="483">
        <v>0</v>
      </c>
      <c r="O15" s="483">
        <v>0</v>
      </c>
    </row>
    <row r="16" spans="1:15" s="344" customFormat="1">
      <c r="A16" s="250">
        <v>12</v>
      </c>
      <c r="B16" s="251" t="s">
        <v>51</v>
      </c>
      <c r="C16" s="251">
        <v>7</v>
      </c>
      <c r="D16" s="252">
        <v>14.96</v>
      </c>
      <c r="E16" s="252">
        <v>10.53</v>
      </c>
      <c r="F16" s="252">
        <v>0.09</v>
      </c>
      <c r="G16" s="253">
        <f>F16/E16%</f>
        <v>0.85470085470085477</v>
      </c>
      <c r="H16" s="254">
        <f>E16-F16</f>
        <v>10.44</v>
      </c>
      <c r="I16" s="549"/>
      <c r="J16" s="550">
        <v>0</v>
      </c>
      <c r="K16" s="254">
        <v>0</v>
      </c>
      <c r="L16" s="254">
        <v>0</v>
      </c>
      <c r="M16" s="254">
        <v>0</v>
      </c>
      <c r="N16" s="254">
        <v>0</v>
      </c>
      <c r="O16" s="254">
        <v>0</v>
      </c>
    </row>
    <row r="17" spans="1:15" s="357" customFormat="1">
      <c r="A17" s="479">
        <v>13</v>
      </c>
      <c r="B17" s="480" t="s">
        <v>52</v>
      </c>
      <c r="C17" s="480">
        <v>8</v>
      </c>
      <c r="D17" s="481">
        <v>14.23</v>
      </c>
      <c r="E17" s="481">
        <v>14.23</v>
      </c>
      <c r="F17" s="481">
        <v>0.25</v>
      </c>
      <c r="G17" s="482">
        <f>F17/E17%</f>
        <v>1.7568517217146871</v>
      </c>
      <c r="H17" s="483">
        <f t="shared" si="1"/>
        <v>13.98</v>
      </c>
      <c r="I17" s="484"/>
      <c r="J17" s="485">
        <v>0</v>
      </c>
      <c r="K17" s="483">
        <v>0</v>
      </c>
      <c r="L17" s="483">
        <v>0</v>
      </c>
      <c r="M17" s="483">
        <v>0</v>
      </c>
      <c r="N17" s="483">
        <v>0</v>
      </c>
      <c r="O17" s="483">
        <v>0</v>
      </c>
    </row>
    <row r="18" spans="1:15" s="344" customFormat="1">
      <c r="A18" s="479">
        <v>14</v>
      </c>
      <c r="B18" s="480" t="s">
        <v>28</v>
      </c>
      <c r="C18" s="480">
        <v>0</v>
      </c>
      <c r="D18" s="481">
        <v>0</v>
      </c>
      <c r="E18" s="481">
        <v>0</v>
      </c>
      <c r="F18" s="481">
        <v>0</v>
      </c>
      <c r="G18" s="482">
        <v>0</v>
      </c>
      <c r="H18" s="483">
        <v>0</v>
      </c>
      <c r="I18" s="549"/>
      <c r="J18" s="550">
        <v>0</v>
      </c>
      <c r="K18" s="254">
        <v>0</v>
      </c>
      <c r="L18" s="254">
        <v>0</v>
      </c>
      <c r="M18" s="254">
        <v>0</v>
      </c>
      <c r="N18" s="254">
        <v>0</v>
      </c>
      <c r="O18" s="254">
        <v>0</v>
      </c>
    </row>
    <row r="19" spans="1:15" s="344" customFormat="1">
      <c r="A19" s="250">
        <v>15</v>
      </c>
      <c r="B19" s="251" t="s">
        <v>10</v>
      </c>
      <c r="C19" s="251">
        <v>1958</v>
      </c>
      <c r="D19" s="252">
        <v>4878.04</v>
      </c>
      <c r="E19" s="252">
        <v>2815.85</v>
      </c>
      <c r="F19" s="252">
        <v>10.11</v>
      </c>
      <c r="G19" s="253">
        <f t="shared" ref="G19" si="2">F19/E19%</f>
        <v>0.35903901131097182</v>
      </c>
      <c r="H19" s="254">
        <v>2946.34</v>
      </c>
      <c r="I19" s="489"/>
      <c r="J19" s="550">
        <v>700</v>
      </c>
      <c r="K19" s="254">
        <v>1656.37</v>
      </c>
      <c r="L19" s="254">
        <v>1550</v>
      </c>
      <c r="M19" s="254">
        <v>51</v>
      </c>
      <c r="N19" s="254">
        <f>M19/L19%</f>
        <v>3.2903225806451615</v>
      </c>
      <c r="O19" s="254">
        <f>M19+L19</f>
        <v>1601</v>
      </c>
    </row>
    <row r="20" spans="1:15" s="357" customFormat="1">
      <c r="A20" s="479">
        <v>16</v>
      </c>
      <c r="B20" s="480" t="s">
        <v>98</v>
      </c>
      <c r="C20" s="480">
        <v>18</v>
      </c>
      <c r="D20" s="481">
        <v>79.38</v>
      </c>
      <c r="E20" s="481">
        <v>1</v>
      </c>
      <c r="F20" s="481">
        <v>0</v>
      </c>
      <c r="G20" s="482">
        <v>0</v>
      </c>
      <c r="H20" s="483">
        <f t="shared" si="1"/>
        <v>1</v>
      </c>
      <c r="I20" s="484"/>
      <c r="J20" s="485">
        <v>0</v>
      </c>
      <c r="K20" s="483">
        <v>0</v>
      </c>
      <c r="L20" s="483">
        <v>0</v>
      </c>
      <c r="M20" s="483">
        <v>0</v>
      </c>
      <c r="N20" s="483">
        <v>0</v>
      </c>
      <c r="O20" s="483">
        <v>0</v>
      </c>
    </row>
    <row r="21" spans="1:15">
      <c r="A21" s="479">
        <v>17</v>
      </c>
      <c r="B21" s="480" t="s">
        <v>35</v>
      </c>
      <c r="C21" s="480">
        <v>53</v>
      </c>
      <c r="D21" s="481">
        <v>168.24</v>
      </c>
      <c r="E21" s="481">
        <v>141.19</v>
      </c>
      <c r="F21" s="481">
        <v>17</v>
      </c>
      <c r="G21" s="482">
        <f t="shared" si="0"/>
        <v>12.040512784191515</v>
      </c>
      <c r="H21" s="483">
        <f t="shared" si="1"/>
        <v>124.19</v>
      </c>
      <c r="I21" s="484"/>
      <c r="J21" s="485">
        <v>0</v>
      </c>
      <c r="K21" s="483">
        <v>0</v>
      </c>
      <c r="L21" s="483">
        <v>0</v>
      </c>
      <c r="M21" s="483">
        <v>0</v>
      </c>
      <c r="N21" s="483">
        <v>0</v>
      </c>
      <c r="O21" s="483">
        <f>L21-M21</f>
        <v>0</v>
      </c>
    </row>
    <row r="22" spans="1:15" s="357" customFormat="1">
      <c r="A22" s="479">
        <v>18</v>
      </c>
      <c r="B22" s="480" t="s">
        <v>54</v>
      </c>
      <c r="C22" s="480">
        <v>31</v>
      </c>
      <c r="D22" s="481">
        <v>76</v>
      </c>
      <c r="E22" s="481">
        <v>25.78</v>
      </c>
      <c r="F22" s="481">
        <v>0</v>
      </c>
      <c r="G22" s="482">
        <f t="shared" si="0"/>
        <v>0</v>
      </c>
      <c r="H22" s="483">
        <f t="shared" si="1"/>
        <v>25.78</v>
      </c>
      <c r="I22" s="484"/>
      <c r="J22" s="485">
        <v>32</v>
      </c>
      <c r="K22" s="483">
        <v>126</v>
      </c>
      <c r="L22" s="483">
        <v>126</v>
      </c>
      <c r="M22" s="483">
        <v>6</v>
      </c>
      <c r="N22" s="483">
        <v>0</v>
      </c>
      <c r="O22" s="483">
        <f>L22-M22</f>
        <v>120</v>
      </c>
    </row>
    <row r="23" spans="1:15" s="357" customFormat="1">
      <c r="A23" s="479">
        <v>19</v>
      </c>
      <c r="B23" s="480" t="s">
        <v>102</v>
      </c>
      <c r="C23" s="480">
        <v>24</v>
      </c>
      <c r="D23" s="481">
        <v>46.86</v>
      </c>
      <c r="E23" s="481">
        <v>31.03</v>
      </c>
      <c r="F23" s="481">
        <v>1.79</v>
      </c>
      <c r="G23" s="482">
        <f t="shared" si="0"/>
        <v>5.7686110215920072</v>
      </c>
      <c r="H23" s="483">
        <f t="shared" si="1"/>
        <v>29.240000000000002</v>
      </c>
      <c r="I23" s="484"/>
      <c r="J23" s="485">
        <v>0</v>
      </c>
      <c r="K23" s="483">
        <v>0</v>
      </c>
      <c r="L23" s="483">
        <v>0</v>
      </c>
      <c r="M23" s="483">
        <v>0</v>
      </c>
      <c r="N23" s="483">
        <v>0</v>
      </c>
      <c r="O23" s="483">
        <v>0</v>
      </c>
    </row>
    <row r="24" spans="1:15" s="344" customFormat="1">
      <c r="A24" s="250">
        <v>20</v>
      </c>
      <c r="B24" s="251" t="s">
        <v>104</v>
      </c>
      <c r="C24" s="251">
        <v>95</v>
      </c>
      <c r="D24" s="252">
        <v>216</v>
      </c>
      <c r="E24" s="252">
        <v>48</v>
      </c>
      <c r="F24" s="252">
        <v>0</v>
      </c>
      <c r="G24" s="253">
        <f t="shared" si="0"/>
        <v>0</v>
      </c>
      <c r="H24" s="254">
        <f t="shared" si="1"/>
        <v>48</v>
      </c>
      <c r="I24" s="549"/>
      <c r="J24" s="550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f>L24-M24</f>
        <v>0</v>
      </c>
    </row>
    <row r="25" spans="1:15" s="357" customFormat="1">
      <c r="A25" s="479">
        <v>21</v>
      </c>
      <c r="B25" s="480" t="s">
        <v>106</v>
      </c>
      <c r="C25" s="480">
        <v>0</v>
      </c>
      <c r="D25" s="481">
        <v>0</v>
      </c>
      <c r="E25" s="481">
        <v>1.0000000000000001E-5</v>
      </c>
      <c r="F25" s="481">
        <v>0</v>
      </c>
      <c r="G25" s="482">
        <f t="shared" si="0"/>
        <v>0</v>
      </c>
      <c r="H25" s="483">
        <f t="shared" si="1"/>
        <v>1.0000000000000001E-5</v>
      </c>
      <c r="I25" s="484"/>
      <c r="J25" s="485">
        <v>0</v>
      </c>
      <c r="K25" s="483">
        <v>0</v>
      </c>
      <c r="L25" s="483">
        <v>0</v>
      </c>
      <c r="M25" s="483">
        <v>0</v>
      </c>
      <c r="N25" s="483">
        <v>0</v>
      </c>
      <c r="O25" s="483">
        <v>0</v>
      </c>
    </row>
    <row r="26" spans="1:15" s="357" customFormat="1">
      <c r="A26" s="479">
        <v>22</v>
      </c>
      <c r="B26" s="480" t="s">
        <v>108</v>
      </c>
      <c r="C26" s="480">
        <v>0</v>
      </c>
      <c r="D26" s="481">
        <v>0</v>
      </c>
      <c r="E26" s="481">
        <v>0</v>
      </c>
      <c r="F26" s="481">
        <v>0</v>
      </c>
      <c r="G26" s="482">
        <v>0</v>
      </c>
      <c r="H26" s="483">
        <v>0</v>
      </c>
      <c r="I26" s="484"/>
      <c r="J26" s="485">
        <v>0</v>
      </c>
      <c r="K26" s="483">
        <v>0</v>
      </c>
      <c r="L26" s="483">
        <v>0</v>
      </c>
      <c r="M26" s="483">
        <v>0</v>
      </c>
      <c r="N26" s="483">
        <v>0</v>
      </c>
      <c r="O26" s="483">
        <v>0</v>
      </c>
    </row>
    <row r="27" spans="1:15" s="357" customFormat="1">
      <c r="A27" s="479">
        <v>23</v>
      </c>
      <c r="B27" s="480" t="s">
        <v>294</v>
      </c>
      <c r="C27" s="480">
        <v>0</v>
      </c>
      <c r="D27" s="481">
        <v>0</v>
      </c>
      <c r="E27" s="481">
        <v>0</v>
      </c>
      <c r="F27" s="481">
        <v>0</v>
      </c>
      <c r="G27" s="482">
        <v>0</v>
      </c>
      <c r="H27" s="483">
        <v>0</v>
      </c>
      <c r="I27" s="484"/>
      <c r="J27" s="485">
        <v>0</v>
      </c>
      <c r="K27" s="483">
        <v>0</v>
      </c>
      <c r="L27" s="483">
        <v>0</v>
      </c>
      <c r="M27" s="483">
        <v>0</v>
      </c>
      <c r="N27" s="483">
        <v>0</v>
      </c>
      <c r="O27" s="483">
        <v>0</v>
      </c>
    </row>
    <row r="28" spans="1:15" s="344" customFormat="1">
      <c r="A28" s="795" t="s">
        <v>113</v>
      </c>
      <c r="B28" s="796" t="s">
        <v>13</v>
      </c>
      <c r="C28" s="796">
        <f>SUM(C5:C27)</f>
        <v>2624</v>
      </c>
      <c r="D28" s="797">
        <f>SUM(D5:D27)</f>
        <v>6277.12</v>
      </c>
      <c r="E28" s="797">
        <f>SUM(E5:E27)</f>
        <v>3362.0100200000006</v>
      </c>
      <c r="F28" s="797">
        <f>SUM(F5:F27)</f>
        <v>62.300000000000004</v>
      </c>
      <c r="G28" s="858">
        <f>F28/E28%</f>
        <v>1.8530581297910587</v>
      </c>
      <c r="H28" s="803">
        <f>SUM(H5:H26)</f>
        <v>3440.3100200000003</v>
      </c>
      <c r="I28" s="799"/>
      <c r="J28" s="802">
        <f>SUM(J5:J27)</f>
        <v>733</v>
      </c>
      <c r="K28" s="803">
        <f>SUM(K5:K27)</f>
        <v>1783.8799999999999</v>
      </c>
      <c r="L28" s="803">
        <f>SUM(L5:L27)</f>
        <v>1676</v>
      </c>
      <c r="M28" s="803">
        <f>SUM(M5:M27)</f>
        <v>57</v>
      </c>
      <c r="N28" s="803">
        <f>M28/L28%</f>
        <v>3.4009546539379474</v>
      </c>
      <c r="O28" s="803">
        <f>SUM(O5:O25)</f>
        <v>1721</v>
      </c>
    </row>
    <row r="29" spans="1:15" s="344" customFormat="1">
      <c r="A29" s="250">
        <v>1</v>
      </c>
      <c r="B29" s="251" t="s">
        <v>16</v>
      </c>
      <c r="C29" s="251">
        <v>0</v>
      </c>
      <c r="D29" s="252">
        <v>0</v>
      </c>
      <c r="E29" s="252">
        <v>1.0000000000000001E-5</v>
      </c>
      <c r="F29" s="252">
        <v>0</v>
      </c>
      <c r="G29" s="253">
        <f>F29/E29%</f>
        <v>0</v>
      </c>
      <c r="H29" s="254">
        <f>E29-F29</f>
        <v>1.0000000000000001E-5</v>
      </c>
      <c r="I29" s="549"/>
      <c r="J29" s="550">
        <v>0</v>
      </c>
      <c r="K29" s="254">
        <v>0</v>
      </c>
      <c r="L29" s="254">
        <v>0</v>
      </c>
      <c r="M29" s="254">
        <v>0</v>
      </c>
      <c r="N29" s="254">
        <v>0</v>
      </c>
      <c r="O29" s="254">
        <v>0</v>
      </c>
    </row>
    <row r="30" spans="1:15" s="344" customFormat="1">
      <c r="A30" s="250">
        <v>1</v>
      </c>
      <c r="B30" s="251" t="s">
        <v>110</v>
      </c>
      <c r="C30" s="251">
        <v>0</v>
      </c>
      <c r="D30" s="252">
        <v>0</v>
      </c>
      <c r="E30" s="252">
        <v>1.0000000000000001E-5</v>
      </c>
      <c r="F30" s="252">
        <v>0</v>
      </c>
      <c r="G30" s="253">
        <f>F30/E30%</f>
        <v>0</v>
      </c>
      <c r="H30" s="254">
        <f>E30-F30</f>
        <v>1.0000000000000001E-5</v>
      </c>
      <c r="I30" s="549"/>
      <c r="J30" s="550">
        <v>0</v>
      </c>
      <c r="K30" s="254">
        <v>0</v>
      </c>
      <c r="L30" s="254">
        <v>0</v>
      </c>
      <c r="M30" s="254">
        <v>0</v>
      </c>
      <c r="N30" s="254">
        <v>0</v>
      </c>
      <c r="O30" s="254">
        <v>0</v>
      </c>
    </row>
    <row r="31" spans="1:15" s="344" customFormat="1">
      <c r="A31" s="795" t="s">
        <v>135</v>
      </c>
      <c r="B31" s="796" t="s">
        <v>13</v>
      </c>
      <c r="C31" s="796">
        <f>SUM(C28:C30)</f>
        <v>2624</v>
      </c>
      <c r="D31" s="797">
        <f>SUM(D28:D30)</f>
        <v>6277.12</v>
      </c>
      <c r="E31" s="797">
        <f>SUM(E28:E30)</f>
        <v>3362.010040000001</v>
      </c>
      <c r="F31" s="797">
        <f>SUM(F28:F30)</f>
        <v>62.300000000000004</v>
      </c>
      <c r="G31" s="858">
        <f>F31/E31%</f>
        <v>1.8530581187675448</v>
      </c>
      <c r="H31" s="803">
        <f>SUM(H28:H30)</f>
        <v>3440.3100400000008</v>
      </c>
      <c r="I31" s="799"/>
      <c r="J31" s="802">
        <f>SUM(J28:J30)</f>
        <v>733</v>
      </c>
      <c r="K31" s="803">
        <f>SUM(K28:K30)</f>
        <v>1783.8799999999999</v>
      </c>
      <c r="L31" s="803">
        <f>SUM(L28:L30)</f>
        <v>1676</v>
      </c>
      <c r="M31" s="803">
        <f>SUM(M28:M30)</f>
        <v>57</v>
      </c>
      <c r="N31" s="803">
        <f>M31/L31%</f>
        <v>3.4009546539379474</v>
      </c>
      <c r="O31" s="803">
        <f>SUM(O28:O30)</f>
        <v>1721</v>
      </c>
    </row>
    <row r="32" spans="1:15" s="344" customFormat="1">
      <c r="A32" s="1698" t="s">
        <v>136</v>
      </c>
      <c r="B32" s="1699"/>
      <c r="C32" s="1699"/>
      <c r="D32" s="1699"/>
      <c r="E32" s="1699"/>
      <c r="F32" s="1699"/>
      <c r="G32" s="1699"/>
      <c r="H32" s="170"/>
      <c r="I32" s="859"/>
      <c r="J32" s="1700"/>
      <c r="K32" s="1700"/>
      <c r="L32" s="1700"/>
      <c r="M32" s="1700"/>
      <c r="N32" s="1700"/>
      <c r="O32" s="170"/>
    </row>
    <row r="33" spans="1:15" s="344" customFormat="1">
      <c r="A33" s="795" t="s">
        <v>135</v>
      </c>
      <c r="B33" s="251" t="s">
        <v>13</v>
      </c>
      <c r="C33" s="796">
        <v>2662</v>
      </c>
      <c r="D33" s="796">
        <v>6488.08</v>
      </c>
      <c r="E33" s="796">
        <v>3370.61004</v>
      </c>
      <c r="F33" s="796">
        <v>48.290000000000006</v>
      </c>
      <c r="G33" s="858">
        <v>1.4326783409213368</v>
      </c>
      <c r="H33" s="803">
        <v>3462.9200400000004</v>
      </c>
      <c r="I33" s="799"/>
      <c r="J33" s="802">
        <v>700</v>
      </c>
      <c r="K33" s="803">
        <v>1656.37</v>
      </c>
      <c r="L33" s="803">
        <v>1550</v>
      </c>
      <c r="M33" s="860">
        <v>51</v>
      </c>
      <c r="N33" s="803">
        <v>3.2903225806451615</v>
      </c>
      <c r="O33" s="803">
        <v>1601</v>
      </c>
    </row>
  </sheetData>
  <mergeCells count="6">
    <mergeCell ref="A1:O1"/>
    <mergeCell ref="A2:H2"/>
    <mergeCell ref="J2:O2"/>
    <mergeCell ref="A3:O3"/>
    <mergeCell ref="A32:G32"/>
    <mergeCell ref="J32:N32"/>
  </mergeCells>
  <pageMargins left="0.7" right="0.7" top="0.75" bottom="0.75" header="0.3" footer="0.3"/>
  <pageSetup paperSize="9" scale="9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sqref="A1:S1"/>
    </sheetView>
  </sheetViews>
  <sheetFormatPr defaultRowHeight="15"/>
  <cols>
    <col min="3" max="3" width="6.28515625" bestFit="1" customWidth="1"/>
    <col min="4" max="4" width="9" bestFit="1" customWidth="1"/>
    <col min="13" max="13" width="15.140625" bestFit="1" customWidth="1"/>
  </cols>
  <sheetData>
    <row r="1" spans="1:19" ht="15.75">
      <c r="A1" s="1482">
        <v>79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</row>
    <row r="2" spans="1:19" ht="15.75">
      <c r="A2" s="1483" t="s">
        <v>296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  <c r="M2" s="1483"/>
      <c r="N2" s="1483" t="s">
        <v>208</v>
      </c>
      <c r="O2" s="1483"/>
      <c r="P2" s="1483"/>
      <c r="Q2" s="1483"/>
      <c r="R2" s="1483"/>
      <c r="S2" s="1483"/>
    </row>
    <row r="3" spans="1:19" ht="15.75">
      <c r="A3" s="1483" t="s">
        <v>297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O3" s="238" t="s">
        <v>298</v>
      </c>
    </row>
    <row r="4" spans="1:19" ht="36">
      <c r="A4" s="227" t="s">
        <v>130</v>
      </c>
      <c r="B4" s="227" t="s">
        <v>131</v>
      </c>
      <c r="C4" s="227" t="s">
        <v>243</v>
      </c>
      <c r="D4" s="227" t="s">
        <v>245</v>
      </c>
      <c r="E4" s="227" t="s">
        <v>246</v>
      </c>
      <c r="F4" s="227" t="s">
        <v>247</v>
      </c>
      <c r="G4" s="227" t="s">
        <v>248</v>
      </c>
      <c r="H4" s="227" t="s">
        <v>249</v>
      </c>
      <c r="I4" s="227" t="s">
        <v>299</v>
      </c>
      <c r="J4" s="227" t="s">
        <v>300</v>
      </c>
      <c r="K4" s="227" t="s">
        <v>252</v>
      </c>
      <c r="M4" s="239" t="s">
        <v>253</v>
      </c>
      <c r="N4" s="239" t="s">
        <v>243</v>
      </c>
      <c r="O4" s="239" t="s">
        <v>301</v>
      </c>
      <c r="P4" s="1605" t="s">
        <v>255</v>
      </c>
      <c r="Q4" s="1605"/>
      <c r="R4" s="1605" t="s">
        <v>256</v>
      </c>
      <c r="S4" s="1605"/>
    </row>
    <row r="5" spans="1:19" s="344" customFormat="1">
      <c r="A5" s="695">
        <v>1</v>
      </c>
      <c r="B5" s="696" t="s">
        <v>78</v>
      </c>
      <c r="C5" s="697"/>
      <c r="D5" s="697">
        <v>0</v>
      </c>
      <c r="E5" s="697">
        <v>0</v>
      </c>
      <c r="F5" s="698">
        <v>0</v>
      </c>
      <c r="G5" s="700">
        <v>0</v>
      </c>
      <c r="H5" s="698">
        <v>0</v>
      </c>
      <c r="I5" s="470">
        <v>0</v>
      </c>
      <c r="J5" s="471">
        <v>0</v>
      </c>
      <c r="K5" s="697">
        <v>0</v>
      </c>
      <c r="L5" s="472"/>
      <c r="M5" s="473"/>
      <c r="N5" s="473"/>
      <c r="O5" s="473"/>
      <c r="P5" s="473" t="s">
        <v>257</v>
      </c>
      <c r="Q5" s="473" t="s">
        <v>258</v>
      </c>
      <c r="R5" s="473" t="s">
        <v>302</v>
      </c>
      <c r="S5" s="473" t="s">
        <v>258</v>
      </c>
    </row>
    <row r="6" spans="1:19" s="344" customFormat="1">
      <c r="A6" s="466">
        <v>2</v>
      </c>
      <c r="B6" s="467" t="s">
        <v>27</v>
      </c>
      <c r="C6" s="468"/>
      <c r="D6" s="468">
        <v>0</v>
      </c>
      <c r="E6" s="468">
        <v>0</v>
      </c>
      <c r="F6" s="469">
        <v>0</v>
      </c>
      <c r="G6" s="470">
        <v>0</v>
      </c>
      <c r="H6" s="469">
        <v>0</v>
      </c>
      <c r="I6" s="470">
        <v>0</v>
      </c>
      <c r="J6" s="471">
        <v>0</v>
      </c>
      <c r="K6" s="468">
        <v>0</v>
      </c>
      <c r="L6" s="472"/>
      <c r="M6" s="473" t="s">
        <v>40</v>
      </c>
      <c r="N6" s="473"/>
      <c r="O6" s="473"/>
      <c r="P6" s="473"/>
      <c r="Q6" s="146"/>
      <c r="R6" s="473"/>
      <c r="S6" s="146"/>
    </row>
    <row r="7" spans="1:19" s="344" customFormat="1">
      <c r="A7" s="466">
        <v>3</v>
      </c>
      <c r="B7" s="467" t="s">
        <v>46</v>
      </c>
      <c r="C7" s="468"/>
      <c r="D7" s="468">
        <v>0</v>
      </c>
      <c r="E7" s="468">
        <v>0</v>
      </c>
      <c r="F7" s="469">
        <v>0</v>
      </c>
      <c r="G7" s="470">
        <v>0</v>
      </c>
      <c r="H7" s="469">
        <v>0</v>
      </c>
      <c r="I7" s="470">
        <v>0</v>
      </c>
      <c r="J7" s="471">
        <v>0</v>
      </c>
      <c r="K7" s="468">
        <v>0</v>
      </c>
      <c r="L7" s="472"/>
      <c r="M7" s="473" t="s">
        <v>70</v>
      </c>
      <c r="N7" s="473"/>
      <c r="O7" s="473"/>
      <c r="P7" s="473"/>
      <c r="Q7" s="146"/>
      <c r="R7" s="473"/>
      <c r="S7" s="146"/>
    </row>
    <row r="8" spans="1:19" s="344" customFormat="1">
      <c r="A8" s="466">
        <v>4</v>
      </c>
      <c r="B8" s="467" t="s">
        <v>32</v>
      </c>
      <c r="C8" s="468"/>
      <c r="D8" s="468">
        <v>0</v>
      </c>
      <c r="E8" s="468">
        <v>0</v>
      </c>
      <c r="F8" s="469">
        <v>0</v>
      </c>
      <c r="G8" s="470">
        <v>0</v>
      </c>
      <c r="H8" s="469">
        <v>0</v>
      </c>
      <c r="I8" s="470">
        <v>0</v>
      </c>
      <c r="J8" s="471">
        <v>0</v>
      </c>
      <c r="K8" s="468">
        <v>0</v>
      </c>
      <c r="L8" s="472"/>
      <c r="M8" s="473" t="s">
        <v>38</v>
      </c>
      <c r="N8" s="473"/>
      <c r="O8" s="473"/>
      <c r="P8" s="473"/>
      <c r="Q8" s="146"/>
      <c r="R8" s="473"/>
      <c r="S8" s="146"/>
    </row>
    <row r="9" spans="1:19" s="344" customFormat="1">
      <c r="A9" s="466">
        <v>5</v>
      </c>
      <c r="B9" s="467" t="s">
        <v>83</v>
      </c>
      <c r="C9" s="468"/>
      <c r="D9" s="468">
        <v>0</v>
      </c>
      <c r="E9" s="468">
        <v>0</v>
      </c>
      <c r="F9" s="469">
        <v>0</v>
      </c>
      <c r="G9" s="470">
        <v>0</v>
      </c>
      <c r="H9" s="469">
        <v>0</v>
      </c>
      <c r="I9" s="470">
        <v>0</v>
      </c>
      <c r="J9" s="471">
        <v>0</v>
      </c>
      <c r="K9" s="468">
        <v>0</v>
      </c>
      <c r="L9" s="472"/>
      <c r="M9" s="473" t="s">
        <v>33</v>
      </c>
      <c r="N9" s="473"/>
      <c r="O9" s="473"/>
      <c r="P9" s="473"/>
      <c r="Q9" s="146"/>
      <c r="R9" s="473"/>
      <c r="S9" s="146"/>
    </row>
    <row r="10" spans="1:19" s="344" customFormat="1">
      <c r="A10" s="466">
        <v>6</v>
      </c>
      <c r="B10" s="467" t="s">
        <v>85</v>
      </c>
      <c r="C10" s="468"/>
      <c r="D10" s="468">
        <v>15</v>
      </c>
      <c r="E10" s="468">
        <v>15</v>
      </c>
      <c r="F10" s="469">
        <v>7.02</v>
      </c>
      <c r="G10" s="470">
        <v>15</v>
      </c>
      <c r="H10" s="469">
        <v>7.02</v>
      </c>
      <c r="I10" s="470">
        <v>0</v>
      </c>
      <c r="J10" s="471">
        <v>0</v>
      </c>
      <c r="K10" s="468">
        <v>0</v>
      </c>
      <c r="L10" s="472"/>
      <c r="M10" s="473" t="s">
        <v>37</v>
      </c>
      <c r="N10" s="473"/>
      <c r="O10" s="473"/>
      <c r="P10" s="473"/>
      <c r="Q10" s="146"/>
      <c r="R10" s="473"/>
      <c r="S10" s="146"/>
    </row>
    <row r="11" spans="1:19" s="357" customFormat="1">
      <c r="A11" s="474">
        <v>7</v>
      </c>
      <c r="B11" s="475" t="s">
        <v>17</v>
      </c>
      <c r="C11" s="476"/>
      <c r="D11" s="476">
        <v>5</v>
      </c>
      <c r="E11" s="476">
        <v>1</v>
      </c>
      <c r="F11" s="672">
        <v>0.8</v>
      </c>
      <c r="G11" s="673">
        <v>1</v>
      </c>
      <c r="H11" s="672">
        <v>0.8</v>
      </c>
      <c r="I11" s="673">
        <v>0</v>
      </c>
      <c r="J11" s="674">
        <v>0</v>
      </c>
      <c r="K11" s="476">
        <v>0</v>
      </c>
      <c r="L11" s="478"/>
      <c r="M11" s="141" t="s">
        <v>30</v>
      </c>
      <c r="N11" s="141"/>
      <c r="O11" s="141"/>
      <c r="P11" s="141"/>
      <c r="Q11" s="328"/>
      <c r="R11" s="141"/>
      <c r="S11" s="328"/>
    </row>
    <row r="12" spans="1:19" s="344" customFormat="1">
      <c r="A12" s="474">
        <v>8</v>
      </c>
      <c r="B12" s="475" t="s">
        <v>26</v>
      </c>
      <c r="C12" s="476"/>
      <c r="D12" s="476">
        <v>0</v>
      </c>
      <c r="E12" s="476">
        <v>0</v>
      </c>
      <c r="F12" s="672">
        <v>0</v>
      </c>
      <c r="G12" s="673">
        <v>0</v>
      </c>
      <c r="H12" s="672">
        <v>0</v>
      </c>
      <c r="I12" s="673">
        <v>0</v>
      </c>
      <c r="J12" s="674">
        <v>0</v>
      </c>
      <c r="K12" s="476">
        <v>0</v>
      </c>
      <c r="L12" s="472"/>
      <c r="M12" s="473" t="s">
        <v>303</v>
      </c>
      <c r="N12" s="473"/>
      <c r="O12" s="473"/>
      <c r="P12" s="473"/>
      <c r="Q12" s="146"/>
      <c r="R12" s="473"/>
      <c r="S12" s="146"/>
    </row>
    <row r="13" spans="1:19" s="344" customFormat="1">
      <c r="A13" s="466">
        <v>9</v>
      </c>
      <c r="B13" s="467" t="s">
        <v>11</v>
      </c>
      <c r="C13" s="468"/>
      <c r="D13" s="468">
        <v>0</v>
      </c>
      <c r="E13" s="468">
        <v>0</v>
      </c>
      <c r="F13" s="469">
        <v>0</v>
      </c>
      <c r="G13" s="470">
        <v>0</v>
      </c>
      <c r="H13" s="469">
        <v>0</v>
      </c>
      <c r="I13" s="470">
        <v>0</v>
      </c>
      <c r="J13" s="471">
        <v>0</v>
      </c>
      <c r="K13" s="468">
        <v>0</v>
      </c>
      <c r="L13" s="472"/>
      <c r="M13" s="473" t="s">
        <v>25</v>
      </c>
      <c r="N13" s="473"/>
      <c r="O13" s="473">
        <v>1</v>
      </c>
      <c r="P13" s="473">
        <v>1</v>
      </c>
      <c r="Q13" s="146">
        <v>1</v>
      </c>
      <c r="R13" s="473">
        <v>1</v>
      </c>
      <c r="S13" s="146">
        <v>1</v>
      </c>
    </row>
    <row r="14" spans="1:19" s="344" customFormat="1">
      <c r="A14" s="466">
        <v>10</v>
      </c>
      <c r="B14" s="467" t="s">
        <v>90</v>
      </c>
      <c r="C14" s="468"/>
      <c r="D14" s="468">
        <v>0</v>
      </c>
      <c r="E14" s="468">
        <v>0</v>
      </c>
      <c r="F14" s="469">
        <v>0</v>
      </c>
      <c r="G14" s="470">
        <v>0</v>
      </c>
      <c r="H14" s="469">
        <v>0</v>
      </c>
      <c r="I14" s="470">
        <v>0</v>
      </c>
      <c r="J14" s="471">
        <v>0</v>
      </c>
      <c r="K14" s="468">
        <v>0</v>
      </c>
      <c r="L14" s="472"/>
      <c r="M14" s="473" t="s">
        <v>21</v>
      </c>
      <c r="N14" s="473"/>
      <c r="O14" s="473"/>
      <c r="P14" s="473"/>
      <c r="Q14" s="146"/>
      <c r="R14" s="473"/>
      <c r="S14" s="146"/>
    </row>
    <row r="15" spans="1:19" s="344" customFormat="1">
      <c r="A15" s="466">
        <v>11</v>
      </c>
      <c r="B15" s="467" t="s">
        <v>92</v>
      </c>
      <c r="C15" s="468"/>
      <c r="D15" s="468">
        <v>37</v>
      </c>
      <c r="E15" s="468">
        <v>37</v>
      </c>
      <c r="F15" s="469">
        <v>14.3</v>
      </c>
      <c r="G15" s="734">
        <v>37</v>
      </c>
      <c r="H15" s="469">
        <v>14.3</v>
      </c>
      <c r="I15" s="734">
        <v>0</v>
      </c>
      <c r="J15" s="471">
        <v>0</v>
      </c>
      <c r="K15" s="468">
        <v>0</v>
      </c>
      <c r="L15" s="472"/>
      <c r="M15" s="473" t="s">
        <v>20</v>
      </c>
      <c r="N15" s="473"/>
      <c r="O15" s="473"/>
      <c r="P15" s="473"/>
      <c r="Q15" s="146"/>
      <c r="R15" s="473"/>
      <c r="S15" s="146"/>
    </row>
    <row r="16" spans="1:19" s="344" customFormat="1">
      <c r="A16" s="466">
        <v>12</v>
      </c>
      <c r="B16" s="467" t="s">
        <v>51</v>
      </c>
      <c r="C16" s="468"/>
      <c r="D16" s="468">
        <v>0</v>
      </c>
      <c r="E16" s="468">
        <v>0</v>
      </c>
      <c r="F16" s="469">
        <v>0</v>
      </c>
      <c r="G16" s="470">
        <v>0</v>
      </c>
      <c r="H16" s="469">
        <v>0</v>
      </c>
      <c r="I16" s="470">
        <v>0</v>
      </c>
      <c r="J16" s="471">
        <v>0</v>
      </c>
      <c r="K16" s="468">
        <v>0</v>
      </c>
      <c r="L16" s="472"/>
      <c r="M16" s="473" t="s">
        <v>15</v>
      </c>
      <c r="N16" s="473"/>
      <c r="O16" s="473"/>
      <c r="P16" s="473"/>
      <c r="Q16" s="146"/>
      <c r="R16" s="473"/>
      <c r="S16" s="146"/>
    </row>
    <row r="17" spans="1:19" s="344" customFormat="1">
      <c r="A17" s="466">
        <v>13</v>
      </c>
      <c r="B17" s="467" t="s">
        <v>52</v>
      </c>
      <c r="C17" s="468"/>
      <c r="D17" s="468">
        <v>1</v>
      </c>
      <c r="E17" s="468">
        <v>0</v>
      </c>
      <c r="F17" s="469">
        <v>0</v>
      </c>
      <c r="G17" s="470">
        <v>0</v>
      </c>
      <c r="H17" s="469">
        <v>0</v>
      </c>
      <c r="I17" s="470">
        <v>0</v>
      </c>
      <c r="J17" s="471">
        <v>0</v>
      </c>
      <c r="K17" s="468">
        <v>0</v>
      </c>
      <c r="L17" s="472"/>
      <c r="M17" s="473" t="s">
        <v>18</v>
      </c>
      <c r="N17" s="473"/>
      <c r="O17" s="473">
        <v>9</v>
      </c>
      <c r="P17" s="473">
        <v>6</v>
      </c>
      <c r="Q17" s="146">
        <v>2.3199999999999998</v>
      </c>
      <c r="R17" s="473">
        <v>6</v>
      </c>
      <c r="S17" s="146">
        <v>2.3199999999999998</v>
      </c>
    </row>
    <row r="18" spans="1:19">
      <c r="A18" s="466">
        <v>14</v>
      </c>
      <c r="B18" s="467" t="s">
        <v>28</v>
      </c>
      <c r="C18" s="468"/>
      <c r="D18" s="468">
        <v>0</v>
      </c>
      <c r="E18" s="468">
        <v>0</v>
      </c>
      <c r="F18" s="469">
        <v>0</v>
      </c>
      <c r="G18" s="470">
        <v>0</v>
      </c>
      <c r="H18" s="469">
        <v>0</v>
      </c>
      <c r="I18" s="470">
        <v>0</v>
      </c>
      <c r="J18" s="471">
        <v>0</v>
      </c>
      <c r="K18" s="468">
        <v>0</v>
      </c>
      <c r="L18" s="240"/>
      <c r="M18" s="473" t="s">
        <v>2</v>
      </c>
      <c r="N18" s="473"/>
      <c r="O18" s="473"/>
      <c r="P18" s="473"/>
      <c r="Q18" s="146"/>
      <c r="R18" s="473"/>
      <c r="S18" s="146"/>
    </row>
    <row r="19" spans="1:19" s="344" customFormat="1">
      <c r="A19" s="474">
        <v>15</v>
      </c>
      <c r="B19" s="475" t="s">
        <v>10</v>
      </c>
      <c r="C19" s="476"/>
      <c r="D19" s="476">
        <v>25</v>
      </c>
      <c r="E19" s="476">
        <v>25</v>
      </c>
      <c r="F19" s="672">
        <v>25.28</v>
      </c>
      <c r="G19" s="673">
        <v>25</v>
      </c>
      <c r="H19" s="672">
        <v>25.28</v>
      </c>
      <c r="I19" s="673">
        <v>0</v>
      </c>
      <c r="J19" s="674">
        <v>0</v>
      </c>
      <c r="K19" s="476">
        <v>0</v>
      </c>
      <c r="L19" s="472"/>
      <c r="M19" s="473" t="s">
        <v>43</v>
      </c>
      <c r="N19" s="473"/>
      <c r="O19" s="473"/>
      <c r="P19" s="473"/>
      <c r="Q19" s="146"/>
      <c r="R19" s="473"/>
      <c r="S19" s="146"/>
    </row>
    <row r="20" spans="1:19" s="344" customFormat="1">
      <c r="A20" s="466">
        <v>16</v>
      </c>
      <c r="B20" s="467" t="s">
        <v>98</v>
      </c>
      <c r="C20" s="468"/>
      <c r="D20" s="468">
        <v>0</v>
      </c>
      <c r="E20" s="468">
        <v>0</v>
      </c>
      <c r="F20" s="469">
        <v>0</v>
      </c>
      <c r="G20" s="470">
        <v>0</v>
      </c>
      <c r="H20" s="469">
        <v>0</v>
      </c>
      <c r="I20" s="470">
        <v>0</v>
      </c>
      <c r="J20" s="471">
        <v>0</v>
      </c>
      <c r="K20" s="468">
        <v>0</v>
      </c>
      <c r="L20" s="472"/>
      <c r="M20" s="473" t="s">
        <v>42</v>
      </c>
      <c r="N20" s="473"/>
      <c r="O20" s="473"/>
      <c r="P20" s="473"/>
      <c r="Q20" s="146"/>
      <c r="R20" s="473"/>
      <c r="S20" s="146"/>
    </row>
    <row r="21" spans="1:19" s="344" customFormat="1">
      <c r="A21" s="466">
        <v>17</v>
      </c>
      <c r="B21" s="467" t="s">
        <v>35</v>
      </c>
      <c r="C21" s="468"/>
      <c r="D21" s="468">
        <v>8</v>
      </c>
      <c r="E21" s="468">
        <v>3</v>
      </c>
      <c r="F21" s="469">
        <v>5.5</v>
      </c>
      <c r="G21" s="470">
        <v>8</v>
      </c>
      <c r="H21" s="469">
        <v>30.91</v>
      </c>
      <c r="I21" s="470">
        <v>0</v>
      </c>
      <c r="J21" s="471">
        <v>0</v>
      </c>
      <c r="K21" s="468">
        <v>0</v>
      </c>
      <c r="L21" s="472"/>
      <c r="M21" s="473" t="s">
        <v>41</v>
      </c>
      <c r="N21" s="473"/>
      <c r="O21" s="473"/>
      <c r="P21" s="473"/>
      <c r="Q21" s="146"/>
      <c r="R21" s="473"/>
      <c r="S21" s="146"/>
    </row>
    <row r="22" spans="1:19" s="344" customFormat="1">
      <c r="A22" s="466">
        <v>18</v>
      </c>
      <c r="B22" s="467" t="s">
        <v>54</v>
      </c>
      <c r="C22" s="468"/>
      <c r="D22" s="468">
        <v>0</v>
      </c>
      <c r="E22" s="468">
        <v>0</v>
      </c>
      <c r="F22" s="469">
        <v>0</v>
      </c>
      <c r="G22" s="470">
        <v>0</v>
      </c>
      <c r="H22" s="469">
        <v>0</v>
      </c>
      <c r="I22" s="470">
        <v>0</v>
      </c>
      <c r="J22" s="471">
        <v>0</v>
      </c>
      <c r="K22" s="468">
        <v>0</v>
      </c>
      <c r="L22" s="472"/>
      <c r="M22" s="473" t="s">
        <v>304</v>
      </c>
      <c r="N22" s="473"/>
      <c r="O22" s="473">
        <v>82</v>
      </c>
      <c r="P22" s="473">
        <v>81</v>
      </c>
      <c r="Q22" s="146">
        <v>56.76</v>
      </c>
      <c r="R22" s="473">
        <v>81</v>
      </c>
      <c r="S22" s="146">
        <v>56.76</v>
      </c>
    </row>
    <row r="23" spans="1:19" s="344" customFormat="1">
      <c r="A23" s="466">
        <v>19</v>
      </c>
      <c r="B23" s="467" t="s">
        <v>102</v>
      </c>
      <c r="C23" s="468"/>
      <c r="D23" s="468">
        <v>0</v>
      </c>
      <c r="E23" s="468">
        <v>0</v>
      </c>
      <c r="F23" s="469">
        <v>0</v>
      </c>
      <c r="G23" s="470">
        <v>0</v>
      </c>
      <c r="H23" s="469">
        <v>0</v>
      </c>
      <c r="I23" s="470">
        <v>0</v>
      </c>
      <c r="J23" s="471">
        <v>0</v>
      </c>
      <c r="K23" s="468">
        <v>0</v>
      </c>
      <c r="L23" s="472"/>
      <c r="M23" s="719" t="s">
        <v>13</v>
      </c>
      <c r="N23" s="719"/>
      <c r="O23" s="719">
        <f>SUM(O6:O22)</f>
        <v>92</v>
      </c>
      <c r="P23" s="719">
        <f>SUM(P6:P22)</f>
        <v>88</v>
      </c>
      <c r="Q23" s="667">
        <f>SUM(Q6:Q22)</f>
        <v>60.08</v>
      </c>
      <c r="R23" s="719">
        <f>SUM(R6:R22)</f>
        <v>88</v>
      </c>
      <c r="S23" s="667">
        <f>SUM(S6:S22)</f>
        <v>60.08</v>
      </c>
    </row>
    <row r="24" spans="1:19" s="344" customFormat="1">
      <c r="A24" s="466">
        <v>20</v>
      </c>
      <c r="B24" s="467" t="s">
        <v>104</v>
      </c>
      <c r="C24" s="468"/>
      <c r="D24" s="468">
        <v>5</v>
      </c>
      <c r="E24" s="468">
        <v>5</v>
      </c>
      <c r="F24" s="469">
        <v>3</v>
      </c>
      <c r="G24" s="470">
        <v>5</v>
      </c>
      <c r="H24" s="469">
        <v>3</v>
      </c>
      <c r="I24" s="470">
        <v>0</v>
      </c>
      <c r="J24" s="471">
        <v>0</v>
      </c>
      <c r="K24" s="468">
        <v>0</v>
      </c>
      <c r="L24" s="472"/>
      <c r="M24" s="472"/>
      <c r="N24" s="472"/>
      <c r="O24" s="472"/>
      <c r="P24" s="472"/>
      <c r="Q24" s="472"/>
      <c r="R24" s="472"/>
      <c r="S24" s="472"/>
    </row>
    <row r="25" spans="1:19" s="344" customFormat="1">
      <c r="A25" s="466">
        <v>21</v>
      </c>
      <c r="B25" s="467" t="s">
        <v>106</v>
      </c>
      <c r="C25" s="468"/>
      <c r="D25" s="468">
        <v>0</v>
      </c>
      <c r="E25" s="468">
        <v>0</v>
      </c>
      <c r="F25" s="469">
        <v>0</v>
      </c>
      <c r="G25" s="470">
        <v>0</v>
      </c>
      <c r="H25" s="469">
        <v>0</v>
      </c>
      <c r="I25" s="470">
        <v>0</v>
      </c>
      <c r="J25" s="471">
        <v>0</v>
      </c>
      <c r="K25" s="468">
        <v>0</v>
      </c>
      <c r="L25" s="472"/>
      <c r="M25" s="472"/>
      <c r="N25" s="472"/>
      <c r="O25" s="472"/>
      <c r="P25" s="472"/>
      <c r="Q25" s="472"/>
      <c r="R25" s="472"/>
      <c r="S25" s="472"/>
    </row>
    <row r="26" spans="1:19" s="344" customFormat="1">
      <c r="A26" s="794">
        <v>22</v>
      </c>
      <c r="B26" s="467" t="s">
        <v>108</v>
      </c>
      <c r="C26" s="697"/>
      <c r="D26" s="697">
        <v>0</v>
      </c>
      <c r="E26" s="697">
        <v>0</v>
      </c>
      <c r="F26" s="698">
        <v>0</v>
      </c>
      <c r="G26" s="700">
        <v>0</v>
      </c>
      <c r="H26" s="698">
        <v>0</v>
      </c>
      <c r="I26" s="700">
        <v>0</v>
      </c>
      <c r="J26" s="471">
        <v>0</v>
      </c>
      <c r="K26" s="697">
        <v>0</v>
      </c>
      <c r="L26" s="472"/>
      <c r="M26" s="472"/>
      <c r="N26" s="472"/>
      <c r="O26" s="472"/>
      <c r="P26" s="472"/>
      <c r="Q26" s="472"/>
      <c r="R26" s="472"/>
      <c r="S26" s="472"/>
    </row>
    <row r="27" spans="1:19" s="344" customFormat="1">
      <c r="A27" s="1701" t="s">
        <v>205</v>
      </c>
      <c r="B27" s="1702"/>
      <c r="C27" s="856"/>
      <c r="D27" s="856">
        <f t="shared" ref="D27:K27" si="0">SUM(D5:D26)</f>
        <v>96</v>
      </c>
      <c r="E27" s="856">
        <f t="shared" si="0"/>
        <v>86</v>
      </c>
      <c r="F27" s="857">
        <f t="shared" si="0"/>
        <v>55.900000000000006</v>
      </c>
      <c r="G27" s="856">
        <f t="shared" si="0"/>
        <v>91</v>
      </c>
      <c r="H27" s="856">
        <f t="shared" si="0"/>
        <v>81.31</v>
      </c>
      <c r="I27" s="856">
        <f t="shared" si="0"/>
        <v>0</v>
      </c>
      <c r="J27" s="856">
        <f t="shared" si="0"/>
        <v>0</v>
      </c>
      <c r="K27" s="856">
        <f t="shared" si="0"/>
        <v>0</v>
      </c>
      <c r="L27" s="472"/>
      <c r="M27" s="472"/>
      <c r="N27" s="472"/>
      <c r="O27" s="472"/>
      <c r="P27" s="472"/>
      <c r="Q27" s="472"/>
      <c r="R27" s="472"/>
      <c r="S27" s="472"/>
    </row>
    <row r="28" spans="1:19" s="344" customFormat="1">
      <c r="A28" s="695">
        <v>1</v>
      </c>
      <c r="B28" s="696" t="s">
        <v>16</v>
      </c>
      <c r="C28" s="697"/>
      <c r="D28" s="697">
        <v>7</v>
      </c>
      <c r="E28" s="471">
        <v>7</v>
      </c>
      <c r="F28" s="698">
        <v>5.5</v>
      </c>
      <c r="G28" s="699">
        <v>7</v>
      </c>
      <c r="H28" s="698">
        <v>5.5</v>
      </c>
      <c r="I28" s="700">
        <v>0</v>
      </c>
      <c r="J28" s="697">
        <v>0</v>
      </c>
      <c r="K28" s="697">
        <v>0</v>
      </c>
      <c r="L28" s="472"/>
      <c r="M28" s="472"/>
      <c r="N28" s="472"/>
      <c r="O28" s="472"/>
      <c r="P28" s="472"/>
      <c r="Q28" s="472"/>
      <c r="R28" s="472"/>
      <c r="S28" s="472"/>
    </row>
    <row r="29" spans="1:19" s="344" customFormat="1">
      <c r="A29" s="466">
        <v>1</v>
      </c>
      <c r="B29" s="467" t="s">
        <v>110</v>
      </c>
      <c r="C29" s="468"/>
      <c r="D29" s="468">
        <v>0</v>
      </c>
      <c r="E29" s="468">
        <v>0</v>
      </c>
      <c r="F29" s="469">
        <v>0</v>
      </c>
      <c r="G29" s="470">
        <v>0</v>
      </c>
      <c r="H29" s="469">
        <v>0</v>
      </c>
      <c r="I29" s="470">
        <v>0</v>
      </c>
      <c r="J29" s="468">
        <v>0</v>
      </c>
      <c r="K29" s="468">
        <v>0</v>
      </c>
      <c r="L29" s="472"/>
      <c r="M29" s="472"/>
      <c r="N29" s="472"/>
      <c r="O29" s="472"/>
      <c r="P29" s="472"/>
      <c r="Q29" s="472"/>
      <c r="R29" s="472"/>
      <c r="S29" s="472"/>
    </row>
    <row r="30" spans="1:19" s="344" customFormat="1">
      <c r="A30" s="1703" t="s">
        <v>206</v>
      </c>
      <c r="B30" s="1704"/>
      <c r="C30" s="861"/>
      <c r="D30" s="861">
        <f t="shared" ref="D30:K30" si="1">SUM(D27:D29)</f>
        <v>103</v>
      </c>
      <c r="E30" s="861">
        <f t="shared" si="1"/>
        <v>93</v>
      </c>
      <c r="F30" s="862">
        <f t="shared" si="1"/>
        <v>61.400000000000006</v>
      </c>
      <c r="G30" s="861">
        <f t="shared" si="1"/>
        <v>98</v>
      </c>
      <c r="H30" s="862">
        <f t="shared" si="1"/>
        <v>86.81</v>
      </c>
      <c r="I30" s="861">
        <f t="shared" si="1"/>
        <v>0</v>
      </c>
      <c r="J30" s="861">
        <f t="shared" si="1"/>
        <v>0</v>
      </c>
      <c r="K30" s="861">
        <f t="shared" si="1"/>
        <v>0</v>
      </c>
      <c r="L30" s="472"/>
      <c r="M30" s="472"/>
      <c r="N30" s="472"/>
      <c r="O30" s="472"/>
      <c r="P30" s="472"/>
      <c r="Q30" s="472"/>
      <c r="R30" s="472"/>
      <c r="S30" s="472"/>
    </row>
    <row r="31" spans="1:19" s="344" customFormat="1">
      <c r="A31" s="1705" t="s">
        <v>305</v>
      </c>
      <c r="B31" s="1706"/>
      <c r="C31" s="165"/>
      <c r="D31" s="165">
        <v>150</v>
      </c>
      <c r="E31" s="863">
        <v>146</v>
      </c>
      <c r="F31" s="166">
        <v>79.55</v>
      </c>
      <c r="G31" s="863">
        <v>133</v>
      </c>
      <c r="H31" s="166">
        <v>73.7</v>
      </c>
      <c r="I31" s="165">
        <v>0</v>
      </c>
      <c r="J31" s="165">
        <v>0</v>
      </c>
      <c r="K31" s="165">
        <v>0</v>
      </c>
      <c r="L31" s="472"/>
      <c r="M31" s="472"/>
      <c r="N31" s="472"/>
      <c r="O31" s="472"/>
      <c r="P31" s="472"/>
      <c r="Q31" s="472"/>
      <c r="R31" s="472"/>
      <c r="S31" s="472"/>
    </row>
  </sheetData>
  <mergeCells count="9">
    <mergeCell ref="A27:B27"/>
    <mergeCell ref="A30:B30"/>
    <mergeCell ref="A31:B31"/>
    <mergeCell ref="A1:S1"/>
    <mergeCell ref="A2:M2"/>
    <mergeCell ref="N2:S2"/>
    <mergeCell ref="A3:K3"/>
    <mergeCell ref="P4:Q4"/>
    <mergeCell ref="R4:S4"/>
  </mergeCells>
  <printOptions gridLines="1"/>
  <pageMargins left="0.7" right="0.7" top="0.75" bottom="0.75" header="0.3" footer="0.3"/>
  <pageSetup scale="65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sqref="A1:S1"/>
    </sheetView>
  </sheetViews>
  <sheetFormatPr defaultRowHeight="15"/>
  <cols>
    <col min="13" max="13" width="11.5703125" bestFit="1" customWidth="1"/>
    <col min="14" max="14" width="6.5703125" bestFit="1" customWidth="1"/>
    <col min="15" max="15" width="10.42578125" customWidth="1"/>
    <col min="16" max="16" width="4.5703125" bestFit="1" customWidth="1"/>
    <col min="17" max="17" width="4.7109375" bestFit="1" customWidth="1"/>
    <col min="18" max="18" width="3.5703125" bestFit="1" customWidth="1"/>
    <col min="19" max="19" width="4.7109375" bestFit="1" customWidth="1"/>
  </cols>
  <sheetData>
    <row r="1" spans="1:19" ht="15.75">
      <c r="A1" s="1482">
        <v>80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</row>
    <row r="2" spans="1:19" ht="15.75">
      <c r="A2" s="1606" t="s">
        <v>306</v>
      </c>
      <c r="B2" s="1606"/>
      <c r="C2" s="1606"/>
      <c r="D2" s="1606"/>
      <c r="E2" s="1606"/>
      <c r="F2" s="1606"/>
      <c r="G2" s="1606"/>
      <c r="H2" s="1606"/>
      <c r="I2" s="1606"/>
      <c r="J2" s="1606"/>
      <c r="K2" s="1606"/>
      <c r="L2" s="1607" t="s">
        <v>562</v>
      </c>
      <c r="M2" s="1607"/>
      <c r="N2" s="1607"/>
      <c r="O2" s="1607"/>
      <c r="P2" s="1607"/>
      <c r="Q2" s="1607"/>
      <c r="R2" s="241"/>
      <c r="S2" s="241"/>
    </row>
    <row r="3" spans="1:19" ht="15.75">
      <c r="A3" s="1483" t="s">
        <v>273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242"/>
      <c r="M3" s="242"/>
      <c r="N3" s="242"/>
      <c r="O3" s="238" t="s">
        <v>298</v>
      </c>
      <c r="P3" s="242"/>
      <c r="Q3" s="242"/>
      <c r="R3" s="242"/>
      <c r="S3" s="242"/>
    </row>
    <row r="4" spans="1:19" ht="36">
      <c r="A4" s="227" t="s">
        <v>130</v>
      </c>
      <c r="B4" s="227" t="s">
        <v>131</v>
      </c>
      <c r="C4" s="227" t="s">
        <v>243</v>
      </c>
      <c r="D4" s="227" t="s">
        <v>245</v>
      </c>
      <c r="E4" s="227" t="s">
        <v>246</v>
      </c>
      <c r="F4" s="227" t="s">
        <v>247</v>
      </c>
      <c r="G4" s="227" t="s">
        <v>248</v>
      </c>
      <c r="H4" s="227" t="s">
        <v>249</v>
      </c>
      <c r="I4" s="227" t="s">
        <v>299</v>
      </c>
      <c r="J4" s="227" t="s">
        <v>300</v>
      </c>
      <c r="K4" s="227" t="s">
        <v>252</v>
      </c>
      <c r="L4" s="242"/>
      <c r="M4" s="239" t="s">
        <v>253</v>
      </c>
      <c r="N4" s="239" t="s">
        <v>243</v>
      </c>
      <c r="O4" s="239" t="s">
        <v>301</v>
      </c>
      <c r="P4" s="1605" t="s">
        <v>255</v>
      </c>
      <c r="Q4" s="1605"/>
      <c r="R4" s="1605" t="s">
        <v>256</v>
      </c>
      <c r="S4" s="1605"/>
    </row>
    <row r="5" spans="1:19" s="344" customFormat="1">
      <c r="A5" s="701">
        <v>1</v>
      </c>
      <c r="B5" s="702" t="s">
        <v>78</v>
      </c>
      <c r="C5" s="476">
        <v>0</v>
      </c>
      <c r="D5" s="476">
        <v>0</v>
      </c>
      <c r="E5" s="476">
        <v>0</v>
      </c>
      <c r="F5" s="477">
        <v>0</v>
      </c>
      <c r="G5" s="476">
        <v>0</v>
      </c>
      <c r="H5" s="477">
        <v>0</v>
      </c>
      <c r="I5" s="476">
        <v>0</v>
      </c>
      <c r="J5" s="476">
        <v>0</v>
      </c>
      <c r="K5" s="476">
        <v>0</v>
      </c>
      <c r="L5" s="478"/>
      <c r="M5" s="141"/>
      <c r="N5" s="141"/>
      <c r="O5" s="141"/>
      <c r="P5" s="141" t="s">
        <v>257</v>
      </c>
      <c r="Q5" s="141" t="s">
        <v>258</v>
      </c>
      <c r="R5" s="141" t="s">
        <v>302</v>
      </c>
      <c r="S5" s="141" t="s">
        <v>258</v>
      </c>
    </row>
    <row r="6" spans="1:19" s="344" customFormat="1">
      <c r="A6" s="474">
        <v>2</v>
      </c>
      <c r="B6" s="475" t="s">
        <v>27</v>
      </c>
      <c r="C6" s="476">
        <v>0</v>
      </c>
      <c r="D6" s="476">
        <v>0</v>
      </c>
      <c r="E6" s="476">
        <v>0</v>
      </c>
      <c r="F6" s="477">
        <v>0</v>
      </c>
      <c r="G6" s="476">
        <v>0</v>
      </c>
      <c r="H6" s="477">
        <v>0</v>
      </c>
      <c r="I6" s="476">
        <v>0</v>
      </c>
      <c r="J6" s="476">
        <v>0</v>
      </c>
      <c r="K6" s="476">
        <v>0</v>
      </c>
      <c r="L6" s="478"/>
      <c r="M6" s="141" t="s">
        <v>40</v>
      </c>
      <c r="N6" s="675"/>
      <c r="O6" s="675"/>
      <c r="P6" s="675"/>
      <c r="Q6" s="676"/>
      <c r="R6" s="675"/>
      <c r="S6" s="676"/>
    </row>
    <row r="7" spans="1:19" s="344" customFormat="1">
      <c r="A7" s="474">
        <v>3</v>
      </c>
      <c r="B7" s="475" t="s">
        <v>46</v>
      </c>
      <c r="C7" s="476">
        <v>0</v>
      </c>
      <c r="D7" s="476">
        <v>0</v>
      </c>
      <c r="E7" s="476">
        <v>0</v>
      </c>
      <c r="F7" s="477">
        <v>0</v>
      </c>
      <c r="G7" s="476">
        <v>0</v>
      </c>
      <c r="H7" s="477">
        <v>0</v>
      </c>
      <c r="I7" s="476">
        <v>0</v>
      </c>
      <c r="J7" s="476">
        <v>0</v>
      </c>
      <c r="K7" s="476">
        <v>0</v>
      </c>
      <c r="L7" s="478"/>
      <c r="M7" s="141" t="s">
        <v>70</v>
      </c>
      <c r="N7" s="141"/>
      <c r="O7" s="141"/>
      <c r="P7" s="141"/>
      <c r="Q7" s="328"/>
      <c r="R7" s="141"/>
      <c r="S7" s="328"/>
    </row>
    <row r="8" spans="1:19" s="344" customFormat="1">
      <c r="A8" s="474">
        <v>4</v>
      </c>
      <c r="B8" s="475" t="s">
        <v>32</v>
      </c>
      <c r="C8" s="476">
        <v>0</v>
      </c>
      <c r="D8" s="476">
        <v>0</v>
      </c>
      <c r="E8" s="476">
        <v>0</v>
      </c>
      <c r="F8" s="477">
        <v>0</v>
      </c>
      <c r="G8" s="476">
        <v>0</v>
      </c>
      <c r="H8" s="477">
        <v>0</v>
      </c>
      <c r="I8" s="476">
        <v>0</v>
      </c>
      <c r="J8" s="476">
        <v>0</v>
      </c>
      <c r="K8" s="476">
        <v>0</v>
      </c>
      <c r="L8" s="502"/>
      <c r="M8" s="141" t="s">
        <v>38</v>
      </c>
      <c r="N8" s="675"/>
      <c r="O8" s="675"/>
      <c r="P8" s="675"/>
      <c r="Q8" s="676"/>
      <c r="R8" s="675"/>
      <c r="S8" s="676"/>
    </row>
    <row r="9" spans="1:19" s="344" customFormat="1">
      <c r="A9" s="474">
        <v>5</v>
      </c>
      <c r="B9" s="475" t="s">
        <v>83</v>
      </c>
      <c r="C9" s="476">
        <v>0</v>
      </c>
      <c r="D9" s="476">
        <v>0</v>
      </c>
      <c r="E9" s="476">
        <v>0</v>
      </c>
      <c r="F9" s="477">
        <v>0</v>
      </c>
      <c r="G9" s="476">
        <v>0</v>
      </c>
      <c r="H9" s="477">
        <v>0</v>
      </c>
      <c r="I9" s="476">
        <v>0</v>
      </c>
      <c r="J9" s="476">
        <v>0</v>
      </c>
      <c r="K9" s="476">
        <v>0</v>
      </c>
      <c r="L9" s="478"/>
      <c r="M9" s="141" t="s">
        <v>33</v>
      </c>
      <c r="N9" s="141"/>
      <c r="O9" s="141"/>
      <c r="P9" s="141"/>
      <c r="Q9" s="328"/>
      <c r="R9" s="141"/>
      <c r="S9" s="328"/>
    </row>
    <row r="10" spans="1:19" s="344" customFormat="1">
      <c r="A10" s="474">
        <v>6</v>
      </c>
      <c r="B10" s="475" t="s">
        <v>85</v>
      </c>
      <c r="C10" s="476">
        <v>0</v>
      </c>
      <c r="D10" s="476">
        <v>0</v>
      </c>
      <c r="E10" s="476">
        <v>0</v>
      </c>
      <c r="F10" s="477">
        <v>0</v>
      </c>
      <c r="G10" s="476">
        <v>0</v>
      </c>
      <c r="H10" s="477">
        <v>0</v>
      </c>
      <c r="I10" s="476">
        <v>0</v>
      </c>
      <c r="J10" s="476">
        <v>0</v>
      </c>
      <c r="K10" s="476">
        <v>0</v>
      </c>
      <c r="L10" s="478"/>
      <c r="M10" s="141" t="s">
        <v>37</v>
      </c>
      <c r="N10" s="141"/>
      <c r="O10" s="141"/>
      <c r="P10" s="141"/>
      <c r="Q10" s="328"/>
      <c r="R10" s="141"/>
      <c r="S10" s="676"/>
    </row>
    <row r="11" spans="1:19" s="344" customFormat="1">
      <c r="A11" s="474">
        <v>7</v>
      </c>
      <c r="B11" s="475" t="s">
        <v>17</v>
      </c>
      <c r="C11" s="476">
        <v>0</v>
      </c>
      <c r="D11" s="476">
        <v>0</v>
      </c>
      <c r="E11" s="476">
        <v>0</v>
      </c>
      <c r="F11" s="477">
        <v>0</v>
      </c>
      <c r="G11" s="476">
        <v>0</v>
      </c>
      <c r="H11" s="477">
        <v>0</v>
      </c>
      <c r="I11" s="476">
        <v>0</v>
      </c>
      <c r="J11" s="476">
        <v>0</v>
      </c>
      <c r="K11" s="476">
        <v>0</v>
      </c>
      <c r="L11" s="502"/>
      <c r="M11" s="141" t="s">
        <v>259</v>
      </c>
      <c r="N11" s="675"/>
      <c r="O11" s="675"/>
      <c r="P11" s="675"/>
      <c r="Q11" s="676"/>
      <c r="R11" s="675"/>
      <c r="S11" s="676"/>
    </row>
    <row r="12" spans="1:19" s="344" customFormat="1">
      <c r="A12" s="474">
        <v>8</v>
      </c>
      <c r="B12" s="475" t="s">
        <v>26</v>
      </c>
      <c r="C12" s="476">
        <v>0</v>
      </c>
      <c r="D12" s="476">
        <v>0</v>
      </c>
      <c r="E12" s="476">
        <v>0</v>
      </c>
      <c r="F12" s="477">
        <v>0</v>
      </c>
      <c r="G12" s="476">
        <v>0</v>
      </c>
      <c r="H12" s="477">
        <v>0</v>
      </c>
      <c r="I12" s="476">
        <v>0</v>
      </c>
      <c r="J12" s="476">
        <v>0</v>
      </c>
      <c r="K12" s="476">
        <v>0</v>
      </c>
      <c r="L12" s="502"/>
      <c r="M12" s="141" t="s">
        <v>260</v>
      </c>
      <c r="N12" s="675"/>
      <c r="O12" s="675"/>
      <c r="P12" s="675"/>
      <c r="Q12" s="676"/>
      <c r="R12" s="675"/>
      <c r="S12" s="676"/>
    </row>
    <row r="13" spans="1:19" s="357" customFormat="1">
      <c r="A13" s="474">
        <v>9</v>
      </c>
      <c r="B13" s="475" t="s">
        <v>11</v>
      </c>
      <c r="C13" s="476">
        <v>0</v>
      </c>
      <c r="D13" s="476">
        <v>0</v>
      </c>
      <c r="E13" s="476">
        <v>0</v>
      </c>
      <c r="F13" s="477">
        <v>0</v>
      </c>
      <c r="G13" s="476">
        <v>0</v>
      </c>
      <c r="H13" s="477">
        <v>0</v>
      </c>
      <c r="I13" s="476">
        <v>0</v>
      </c>
      <c r="J13" s="476">
        <v>0</v>
      </c>
      <c r="K13" s="476">
        <v>0</v>
      </c>
      <c r="L13" s="478"/>
      <c r="M13" s="141" t="s">
        <v>25</v>
      </c>
      <c r="N13" s="141"/>
      <c r="O13" s="141"/>
      <c r="P13" s="141"/>
      <c r="Q13" s="328"/>
      <c r="R13" s="141"/>
      <c r="S13" s="328"/>
    </row>
    <row r="14" spans="1:19" s="344" customFormat="1">
      <c r="A14" s="474">
        <v>10</v>
      </c>
      <c r="B14" s="475" t="s">
        <v>90</v>
      </c>
      <c r="C14" s="476">
        <v>0</v>
      </c>
      <c r="D14" s="476">
        <v>0</v>
      </c>
      <c r="E14" s="476">
        <v>0</v>
      </c>
      <c r="F14" s="477">
        <v>0</v>
      </c>
      <c r="G14" s="476">
        <v>0</v>
      </c>
      <c r="H14" s="477">
        <v>0</v>
      </c>
      <c r="I14" s="476">
        <v>0</v>
      </c>
      <c r="J14" s="476">
        <v>0</v>
      </c>
      <c r="K14" s="476">
        <v>0</v>
      </c>
      <c r="L14" s="478"/>
      <c r="M14" s="141" t="s">
        <v>21</v>
      </c>
      <c r="N14" s="141"/>
      <c r="O14" s="141"/>
      <c r="P14" s="141"/>
      <c r="Q14" s="328"/>
      <c r="R14" s="141"/>
      <c r="S14" s="328"/>
    </row>
    <row r="15" spans="1:19" s="344" customFormat="1">
      <c r="A15" s="474">
        <v>11</v>
      </c>
      <c r="B15" s="475" t="s">
        <v>92</v>
      </c>
      <c r="C15" s="476">
        <v>0</v>
      </c>
      <c r="D15" s="476">
        <v>0</v>
      </c>
      <c r="E15" s="476">
        <v>0</v>
      </c>
      <c r="F15" s="477">
        <v>0</v>
      </c>
      <c r="G15" s="476">
        <v>0</v>
      </c>
      <c r="H15" s="477">
        <v>0</v>
      </c>
      <c r="I15" s="476">
        <v>0</v>
      </c>
      <c r="J15" s="476">
        <v>0</v>
      </c>
      <c r="K15" s="476">
        <v>0</v>
      </c>
      <c r="L15" s="478"/>
      <c r="M15" s="141" t="s">
        <v>20</v>
      </c>
      <c r="N15" s="141"/>
      <c r="O15" s="141"/>
      <c r="P15" s="141"/>
      <c r="Q15" s="328"/>
      <c r="R15" s="141"/>
      <c r="S15" s="328"/>
    </row>
    <row r="16" spans="1:19" s="344" customFormat="1">
      <c r="A16" s="474">
        <v>12</v>
      </c>
      <c r="B16" s="475" t="s">
        <v>51</v>
      </c>
      <c r="C16" s="476">
        <v>0</v>
      </c>
      <c r="D16" s="476">
        <v>0</v>
      </c>
      <c r="E16" s="476">
        <v>0</v>
      </c>
      <c r="F16" s="477">
        <v>0</v>
      </c>
      <c r="G16" s="476">
        <v>0</v>
      </c>
      <c r="H16" s="477">
        <v>0</v>
      </c>
      <c r="I16" s="476">
        <v>0</v>
      </c>
      <c r="J16" s="476">
        <v>0</v>
      </c>
      <c r="K16" s="476">
        <v>0</v>
      </c>
      <c r="L16" s="478"/>
      <c r="M16" s="141" t="s">
        <v>261</v>
      </c>
      <c r="N16" s="675"/>
      <c r="O16" s="675"/>
      <c r="P16" s="675"/>
      <c r="Q16" s="676"/>
      <c r="R16" s="675"/>
      <c r="S16" s="676"/>
    </row>
    <row r="17" spans="1:19" s="344" customFormat="1">
      <c r="A17" s="474">
        <v>13</v>
      </c>
      <c r="B17" s="475" t="s">
        <v>52</v>
      </c>
      <c r="C17" s="476">
        <v>0</v>
      </c>
      <c r="D17" s="476">
        <v>0</v>
      </c>
      <c r="E17" s="476">
        <v>0</v>
      </c>
      <c r="F17" s="477">
        <v>0</v>
      </c>
      <c r="G17" s="476">
        <v>0</v>
      </c>
      <c r="H17" s="477">
        <v>0</v>
      </c>
      <c r="I17" s="476">
        <v>0</v>
      </c>
      <c r="J17" s="476">
        <v>0</v>
      </c>
      <c r="K17" s="476">
        <v>0</v>
      </c>
      <c r="L17" s="478"/>
      <c r="M17" s="141" t="s">
        <v>263</v>
      </c>
      <c r="N17" s="141"/>
      <c r="O17" s="141"/>
      <c r="P17" s="141"/>
      <c r="Q17" s="328"/>
      <c r="R17" s="141"/>
      <c r="S17" s="328"/>
    </row>
    <row r="18" spans="1:19" s="344" customFormat="1">
      <c r="A18" s="474">
        <v>14</v>
      </c>
      <c r="B18" s="475" t="s">
        <v>28</v>
      </c>
      <c r="C18" s="476">
        <v>0</v>
      </c>
      <c r="D18" s="476">
        <v>0</v>
      </c>
      <c r="E18" s="476">
        <v>0</v>
      </c>
      <c r="F18" s="477">
        <v>0</v>
      </c>
      <c r="G18" s="476">
        <v>0</v>
      </c>
      <c r="H18" s="477">
        <v>0</v>
      </c>
      <c r="I18" s="476">
        <v>0</v>
      </c>
      <c r="J18" s="476">
        <v>0</v>
      </c>
      <c r="K18" s="476">
        <v>0</v>
      </c>
      <c r="L18" s="478"/>
      <c r="M18" s="141" t="s">
        <v>264</v>
      </c>
      <c r="N18" s="141"/>
      <c r="O18" s="141"/>
      <c r="P18" s="141"/>
      <c r="Q18" s="328"/>
      <c r="R18" s="141"/>
      <c r="S18" s="328"/>
    </row>
    <row r="19" spans="1:19" s="344" customFormat="1">
      <c r="A19" s="474">
        <v>15</v>
      </c>
      <c r="B19" s="475" t="s">
        <v>10</v>
      </c>
      <c r="C19" s="476">
        <v>0</v>
      </c>
      <c r="D19" s="476">
        <v>0</v>
      </c>
      <c r="E19" s="476">
        <v>0</v>
      </c>
      <c r="F19" s="672">
        <v>0</v>
      </c>
      <c r="G19" s="673">
        <v>0</v>
      </c>
      <c r="H19" s="672">
        <v>0</v>
      </c>
      <c r="I19" s="673">
        <v>0</v>
      </c>
      <c r="J19" s="476">
        <v>0</v>
      </c>
      <c r="K19" s="476">
        <v>0</v>
      </c>
      <c r="L19" s="502"/>
      <c r="M19" s="141" t="s">
        <v>265</v>
      </c>
      <c r="N19" s="675"/>
      <c r="O19" s="675"/>
      <c r="P19" s="675"/>
      <c r="Q19" s="676"/>
      <c r="R19" s="675"/>
      <c r="S19" s="676"/>
    </row>
    <row r="20" spans="1:19" s="344" customFormat="1">
      <c r="A20" s="474">
        <v>16</v>
      </c>
      <c r="B20" s="475" t="s">
        <v>98</v>
      </c>
      <c r="C20" s="476">
        <v>0</v>
      </c>
      <c r="D20" s="476">
        <v>0</v>
      </c>
      <c r="E20" s="476">
        <v>0</v>
      </c>
      <c r="F20" s="477">
        <v>0</v>
      </c>
      <c r="G20" s="476">
        <v>0</v>
      </c>
      <c r="H20" s="477">
        <v>0</v>
      </c>
      <c r="I20" s="476">
        <v>0</v>
      </c>
      <c r="J20" s="476">
        <v>0</v>
      </c>
      <c r="K20" s="476">
        <v>0</v>
      </c>
      <c r="L20" s="478"/>
      <c r="M20" s="141" t="s">
        <v>266</v>
      </c>
      <c r="N20" s="141"/>
      <c r="O20" s="141"/>
      <c r="P20" s="141"/>
      <c r="Q20" s="328"/>
      <c r="R20" s="141"/>
      <c r="S20" s="328"/>
    </row>
    <row r="21" spans="1:19" s="344" customFormat="1">
      <c r="A21" s="474">
        <v>17</v>
      </c>
      <c r="B21" s="475" t="s">
        <v>35</v>
      </c>
      <c r="C21" s="476">
        <v>0</v>
      </c>
      <c r="D21" s="476">
        <v>0</v>
      </c>
      <c r="E21" s="476">
        <v>0</v>
      </c>
      <c r="F21" s="477">
        <v>0</v>
      </c>
      <c r="G21" s="476">
        <v>0</v>
      </c>
      <c r="H21" s="477">
        <v>0</v>
      </c>
      <c r="I21" s="476">
        <v>0</v>
      </c>
      <c r="J21" s="476">
        <v>0</v>
      </c>
      <c r="K21" s="476">
        <v>0</v>
      </c>
      <c r="L21" s="478"/>
      <c r="M21" s="141" t="s">
        <v>41</v>
      </c>
      <c r="N21" s="141"/>
      <c r="O21" s="141"/>
      <c r="P21" s="141"/>
      <c r="Q21" s="328"/>
      <c r="R21" s="141"/>
      <c r="S21" s="328"/>
    </row>
    <row r="22" spans="1:19" s="344" customFormat="1">
      <c r="A22" s="474">
        <v>18</v>
      </c>
      <c r="B22" s="475" t="s">
        <v>54</v>
      </c>
      <c r="C22" s="476">
        <v>0</v>
      </c>
      <c r="D22" s="476">
        <v>0</v>
      </c>
      <c r="E22" s="476">
        <v>0</v>
      </c>
      <c r="F22" s="477">
        <v>0</v>
      </c>
      <c r="G22" s="476">
        <v>0</v>
      </c>
      <c r="H22" s="477">
        <v>0</v>
      </c>
      <c r="I22" s="476">
        <v>0</v>
      </c>
      <c r="J22" s="476">
        <v>0</v>
      </c>
      <c r="K22" s="476">
        <v>0</v>
      </c>
      <c r="L22" s="502"/>
      <c r="M22" s="141" t="s">
        <v>44</v>
      </c>
      <c r="N22" s="675"/>
      <c r="O22" s="675"/>
      <c r="P22" s="675"/>
      <c r="Q22" s="675"/>
      <c r="R22" s="675"/>
      <c r="S22" s="675"/>
    </row>
    <row r="23" spans="1:19" s="344" customFormat="1">
      <c r="A23" s="474">
        <v>19</v>
      </c>
      <c r="B23" s="475" t="s">
        <v>102</v>
      </c>
      <c r="C23" s="476">
        <v>0</v>
      </c>
      <c r="D23" s="476">
        <v>0</v>
      </c>
      <c r="E23" s="476">
        <v>0</v>
      </c>
      <c r="F23" s="477">
        <v>0</v>
      </c>
      <c r="G23" s="476">
        <v>0</v>
      </c>
      <c r="H23" s="477">
        <v>0</v>
      </c>
      <c r="I23" s="476">
        <v>0</v>
      </c>
      <c r="J23" s="476">
        <v>0</v>
      </c>
      <c r="K23" s="476">
        <v>0</v>
      </c>
      <c r="L23" s="502"/>
      <c r="M23" s="141" t="s">
        <v>13</v>
      </c>
      <c r="N23" s="141">
        <v>0</v>
      </c>
      <c r="O23" s="141">
        <v>0</v>
      </c>
      <c r="P23" s="141">
        <f>SUM(P6:P22)</f>
        <v>0</v>
      </c>
      <c r="Q23" s="328">
        <f>SUM(Q6:Q22)</f>
        <v>0</v>
      </c>
      <c r="R23" s="141">
        <f>SUM(R6:R22)</f>
        <v>0</v>
      </c>
      <c r="S23" s="328">
        <f>SUM(S6:S22)</f>
        <v>0</v>
      </c>
    </row>
    <row r="24" spans="1:19" s="344" customFormat="1">
      <c r="A24" s="474">
        <v>20</v>
      </c>
      <c r="B24" s="475" t="s">
        <v>104</v>
      </c>
      <c r="C24" s="476">
        <v>0</v>
      </c>
      <c r="D24" s="476">
        <v>0</v>
      </c>
      <c r="E24" s="476">
        <v>0</v>
      </c>
      <c r="F24" s="477">
        <v>0</v>
      </c>
      <c r="G24" s="476">
        <v>0</v>
      </c>
      <c r="H24" s="477">
        <v>0</v>
      </c>
      <c r="I24" s="476">
        <v>0</v>
      </c>
      <c r="J24" s="476">
        <v>0</v>
      </c>
      <c r="K24" s="476">
        <v>0</v>
      </c>
      <c r="L24" s="502"/>
      <c r="M24" s="502"/>
      <c r="N24" s="502"/>
      <c r="O24" s="502"/>
      <c r="P24" s="502"/>
      <c r="Q24" s="502"/>
      <c r="R24" s="502"/>
      <c r="S24" s="502"/>
    </row>
    <row r="25" spans="1:19" s="344" customFormat="1">
      <c r="A25" s="474">
        <v>21</v>
      </c>
      <c r="B25" s="475" t="s">
        <v>106</v>
      </c>
      <c r="C25" s="476">
        <v>0</v>
      </c>
      <c r="D25" s="476">
        <v>0</v>
      </c>
      <c r="E25" s="476">
        <v>0</v>
      </c>
      <c r="F25" s="477">
        <v>0</v>
      </c>
      <c r="G25" s="476">
        <v>0</v>
      </c>
      <c r="H25" s="477">
        <v>0</v>
      </c>
      <c r="I25" s="476">
        <v>0</v>
      </c>
      <c r="J25" s="476">
        <v>0</v>
      </c>
      <c r="K25" s="476">
        <v>0</v>
      </c>
      <c r="L25" s="502"/>
      <c r="M25" s="1707" t="s">
        <v>307</v>
      </c>
      <c r="N25" s="1707"/>
      <c r="O25" s="1707"/>
      <c r="P25" s="1707"/>
      <c r="Q25" s="713"/>
      <c r="R25" s="502"/>
      <c r="S25" s="502"/>
    </row>
    <row r="26" spans="1:19" s="344" customFormat="1">
      <c r="A26" s="739">
        <v>22</v>
      </c>
      <c r="B26" s="475" t="s">
        <v>108</v>
      </c>
      <c r="C26" s="703">
        <v>0</v>
      </c>
      <c r="D26" s="703">
        <v>0</v>
      </c>
      <c r="E26" s="703">
        <v>0</v>
      </c>
      <c r="F26" s="737">
        <v>0</v>
      </c>
      <c r="G26" s="703">
        <v>0</v>
      </c>
      <c r="H26" s="737">
        <v>0</v>
      </c>
      <c r="I26" s="703">
        <v>0</v>
      </c>
      <c r="J26" s="703">
        <v>0</v>
      </c>
      <c r="K26" s="703">
        <v>0</v>
      </c>
      <c r="L26" s="502"/>
      <c r="M26" s="713"/>
      <c r="N26" s="713"/>
      <c r="O26" s="713"/>
      <c r="P26" s="713"/>
      <c r="Q26" s="713"/>
      <c r="R26" s="502"/>
      <c r="S26" s="502"/>
    </row>
    <row r="27" spans="1:19">
      <c r="A27" s="1682" t="s">
        <v>205</v>
      </c>
      <c r="B27" s="1683"/>
      <c r="C27" s="744">
        <f t="shared" ref="C27:K27" si="0">SUM(C5:C26)</f>
        <v>0</v>
      </c>
      <c r="D27" s="744">
        <f t="shared" si="0"/>
        <v>0</v>
      </c>
      <c r="E27" s="744">
        <f t="shared" si="0"/>
        <v>0</v>
      </c>
      <c r="F27" s="745">
        <f t="shared" si="0"/>
        <v>0</v>
      </c>
      <c r="G27" s="744">
        <f t="shared" si="0"/>
        <v>0</v>
      </c>
      <c r="H27" s="745">
        <f t="shared" si="0"/>
        <v>0</v>
      </c>
      <c r="I27" s="744">
        <f t="shared" si="0"/>
        <v>0</v>
      </c>
      <c r="J27" s="744">
        <f t="shared" si="0"/>
        <v>0</v>
      </c>
      <c r="K27" s="744">
        <f t="shared" si="0"/>
        <v>0</v>
      </c>
      <c r="L27" s="172"/>
      <c r="M27" s="172"/>
      <c r="N27" s="172"/>
      <c r="O27" s="172"/>
      <c r="P27" s="172"/>
      <c r="Q27" s="172"/>
      <c r="R27" s="172"/>
      <c r="S27" s="172"/>
    </row>
    <row r="28" spans="1:19" s="344" customFormat="1">
      <c r="A28" s="701">
        <v>1</v>
      </c>
      <c r="B28" s="702" t="s">
        <v>16</v>
      </c>
      <c r="C28" s="703">
        <v>0</v>
      </c>
      <c r="D28" s="703">
        <v>0</v>
      </c>
      <c r="E28" s="703">
        <v>0</v>
      </c>
      <c r="F28" s="704">
        <v>0</v>
      </c>
      <c r="G28" s="705">
        <v>0</v>
      </c>
      <c r="H28" s="704">
        <v>0</v>
      </c>
      <c r="I28" s="705">
        <v>0</v>
      </c>
      <c r="J28" s="703">
        <v>0</v>
      </c>
      <c r="K28" s="703">
        <v>0</v>
      </c>
      <c r="L28" s="502"/>
      <c r="M28" s="502"/>
      <c r="N28" s="502"/>
      <c r="O28" s="502"/>
      <c r="P28" s="502"/>
      <c r="Q28" s="502"/>
      <c r="R28" s="502"/>
      <c r="S28" s="502"/>
    </row>
    <row r="29" spans="1:19">
      <c r="A29" s="474">
        <v>1</v>
      </c>
      <c r="B29" s="475" t="s">
        <v>110</v>
      </c>
      <c r="C29" s="476">
        <v>0</v>
      </c>
      <c r="D29" s="476">
        <v>0</v>
      </c>
      <c r="E29" s="476">
        <v>0</v>
      </c>
      <c r="F29" s="672">
        <v>0</v>
      </c>
      <c r="G29" s="673">
        <v>0</v>
      </c>
      <c r="H29" s="672">
        <v>0</v>
      </c>
      <c r="I29" s="673">
        <v>0</v>
      </c>
      <c r="J29" s="476">
        <v>0</v>
      </c>
      <c r="K29" s="476">
        <v>0</v>
      </c>
      <c r="L29" s="172"/>
      <c r="M29" s="172"/>
      <c r="N29" s="172"/>
      <c r="O29" s="172"/>
      <c r="P29" s="172"/>
      <c r="Q29" s="172"/>
      <c r="R29" s="172"/>
      <c r="S29" s="172"/>
    </row>
    <row r="30" spans="1:19">
      <c r="A30" s="1682" t="s">
        <v>206</v>
      </c>
      <c r="B30" s="1683"/>
      <c r="C30" s="744">
        <v>0</v>
      </c>
      <c r="D30" s="744">
        <f t="shared" ref="D30:K30" si="1">SUM(D27:D29)</f>
        <v>0</v>
      </c>
      <c r="E30" s="744">
        <f t="shared" si="1"/>
        <v>0</v>
      </c>
      <c r="F30" s="745">
        <f t="shared" si="1"/>
        <v>0</v>
      </c>
      <c r="G30" s="744">
        <f t="shared" si="1"/>
        <v>0</v>
      </c>
      <c r="H30" s="745">
        <f t="shared" si="1"/>
        <v>0</v>
      </c>
      <c r="I30" s="744">
        <f t="shared" si="1"/>
        <v>0</v>
      </c>
      <c r="J30" s="744">
        <f t="shared" si="1"/>
        <v>0</v>
      </c>
      <c r="K30" s="744">
        <f t="shared" si="1"/>
        <v>0</v>
      </c>
      <c r="L30" s="172"/>
      <c r="M30" s="172"/>
      <c r="N30" s="172"/>
      <c r="O30" s="172"/>
      <c r="P30" s="172"/>
      <c r="Q30" s="172"/>
      <c r="R30" s="172"/>
      <c r="S30" s="172"/>
    </row>
    <row r="31" spans="1:19">
      <c r="A31" s="715" t="s">
        <v>136</v>
      </c>
      <c r="B31" s="715"/>
      <c r="C31" s="715"/>
      <c r="D31" s="715"/>
      <c r="E31" s="715"/>
      <c r="F31" s="163"/>
      <c r="G31" s="715"/>
      <c r="H31" s="715"/>
      <c r="I31" s="715"/>
      <c r="J31" s="715"/>
      <c r="K31" s="715"/>
      <c r="L31" s="231"/>
      <c r="M31" s="172"/>
      <c r="N31" s="172"/>
      <c r="O31" s="172"/>
      <c r="P31" s="172"/>
      <c r="Q31" s="172"/>
      <c r="R31" s="172"/>
      <c r="S31" s="172"/>
    </row>
    <row r="32" spans="1:19">
      <c r="A32" s="169"/>
      <c r="B32" s="169" t="s">
        <v>13</v>
      </c>
      <c r="C32" s="169">
        <v>0</v>
      </c>
      <c r="D32" s="169">
        <v>0</v>
      </c>
      <c r="E32" s="169">
        <v>0</v>
      </c>
      <c r="F32" s="170">
        <v>0</v>
      </c>
      <c r="G32" s="169">
        <v>0</v>
      </c>
      <c r="H32" s="170">
        <v>0</v>
      </c>
      <c r="I32" s="169">
        <v>0</v>
      </c>
      <c r="J32" s="169">
        <v>0</v>
      </c>
      <c r="K32" s="169">
        <v>0</v>
      </c>
      <c r="L32" s="243"/>
      <c r="M32" s="172"/>
      <c r="N32" s="172"/>
      <c r="O32" s="172"/>
      <c r="P32" s="172"/>
      <c r="Q32" s="172"/>
      <c r="R32" s="172"/>
      <c r="S32" s="172"/>
    </row>
  </sheetData>
  <mergeCells count="9">
    <mergeCell ref="A27:B27"/>
    <mergeCell ref="A30:B30"/>
    <mergeCell ref="A1:S1"/>
    <mergeCell ref="A2:K2"/>
    <mergeCell ref="L2:Q2"/>
    <mergeCell ref="A3:K3"/>
    <mergeCell ref="P4:Q4"/>
    <mergeCell ref="R4:S4"/>
    <mergeCell ref="M25:P25"/>
  </mergeCells>
  <pageMargins left="0.7" right="0.7" top="0.75" bottom="0.75" header="0.3" footer="0.3"/>
  <pageSetup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G35"/>
  <sheetViews>
    <sheetView workbookViewId="0">
      <selection activeCell="J10" sqref="J10"/>
    </sheetView>
  </sheetViews>
  <sheetFormatPr defaultRowHeight="15"/>
  <cols>
    <col min="2" max="2" width="8.7109375" bestFit="1" customWidth="1"/>
    <col min="3" max="3" width="8.5703125" bestFit="1" customWidth="1"/>
    <col min="4" max="4" width="8.140625" bestFit="1" customWidth="1"/>
    <col min="5" max="6" width="9" bestFit="1" customWidth="1"/>
    <col min="7" max="7" width="7.7109375" bestFit="1" customWidth="1"/>
  </cols>
  <sheetData>
    <row r="1" spans="2:7" ht="18">
      <c r="B1" s="1432">
        <v>4</v>
      </c>
      <c r="C1" s="1432"/>
      <c r="D1" s="1432"/>
      <c r="E1" s="1432"/>
      <c r="F1" s="1432"/>
      <c r="G1" s="1432"/>
    </row>
    <row r="2" spans="2:7" ht="18">
      <c r="B2" s="1433" t="s">
        <v>129</v>
      </c>
      <c r="C2" s="1433"/>
      <c r="D2" s="1433"/>
      <c r="E2" s="1433"/>
      <c r="F2" s="1433"/>
      <c r="G2" s="1433"/>
    </row>
    <row r="3" spans="2:7" ht="18">
      <c r="B3" s="1433" t="s">
        <v>193</v>
      </c>
      <c r="C3" s="1433"/>
      <c r="D3" s="1433"/>
      <c r="E3" s="1433"/>
      <c r="F3" s="1433"/>
      <c r="G3" s="1433"/>
    </row>
    <row r="4" spans="2:7" ht="15.75">
      <c r="B4" s="111"/>
      <c r="C4" s="111"/>
      <c r="D4" s="111"/>
      <c r="E4" s="111"/>
      <c r="F4" s="111"/>
      <c r="G4" s="111"/>
    </row>
    <row r="5" spans="2:7" ht="30">
      <c r="B5" s="112" t="s">
        <v>130</v>
      </c>
      <c r="C5" s="113" t="s">
        <v>131</v>
      </c>
      <c r="D5" s="112" t="s">
        <v>132</v>
      </c>
      <c r="E5" s="112" t="s">
        <v>133</v>
      </c>
      <c r="F5" s="112" t="s">
        <v>134</v>
      </c>
      <c r="G5" s="112" t="s">
        <v>13</v>
      </c>
    </row>
    <row r="6" spans="2:7" ht="15.75">
      <c r="B6" s="114">
        <v>1</v>
      </c>
      <c r="C6" s="115" t="s">
        <v>78</v>
      </c>
      <c r="D6" s="114">
        <v>0</v>
      </c>
      <c r="E6" s="114">
        <v>1</v>
      </c>
      <c r="F6" s="114">
        <v>0</v>
      </c>
      <c r="G6" s="114">
        <f t="shared" ref="G6:G30" si="0">SUM(D6:F6)</f>
        <v>1</v>
      </c>
    </row>
    <row r="7" spans="2:7" ht="15.75">
      <c r="B7" s="116">
        <v>2</v>
      </c>
      <c r="C7" s="117" t="s">
        <v>27</v>
      </c>
      <c r="D7" s="116">
        <v>1</v>
      </c>
      <c r="E7" s="116">
        <v>4</v>
      </c>
      <c r="F7" s="116">
        <v>0</v>
      </c>
      <c r="G7" s="116">
        <f t="shared" si="0"/>
        <v>5</v>
      </c>
    </row>
    <row r="8" spans="2:7" ht="15.75">
      <c r="B8" s="116">
        <v>3</v>
      </c>
      <c r="C8" s="117" t="s">
        <v>46</v>
      </c>
      <c r="D8" s="116">
        <v>0</v>
      </c>
      <c r="E8" s="116">
        <v>1</v>
      </c>
      <c r="F8" s="116">
        <v>0</v>
      </c>
      <c r="G8" s="116">
        <f t="shared" si="0"/>
        <v>1</v>
      </c>
    </row>
    <row r="9" spans="2:7" ht="15.75">
      <c r="B9" s="116">
        <v>4</v>
      </c>
      <c r="C9" s="117" t="s">
        <v>32</v>
      </c>
      <c r="D9" s="116">
        <v>2</v>
      </c>
      <c r="E9" s="116">
        <v>3</v>
      </c>
      <c r="F9" s="116">
        <v>0</v>
      </c>
      <c r="G9" s="116">
        <v>5</v>
      </c>
    </row>
    <row r="10" spans="2:7" ht="15.75">
      <c r="B10" s="116">
        <v>5</v>
      </c>
      <c r="C10" s="117" t="s">
        <v>83</v>
      </c>
      <c r="D10" s="116">
        <v>0</v>
      </c>
      <c r="E10" s="116">
        <v>1</v>
      </c>
      <c r="F10" s="116">
        <v>0</v>
      </c>
      <c r="G10" s="116">
        <f t="shared" si="0"/>
        <v>1</v>
      </c>
    </row>
    <row r="11" spans="2:7" ht="15.75">
      <c r="B11" s="116">
        <v>6</v>
      </c>
      <c r="C11" s="117" t="s">
        <v>85</v>
      </c>
      <c r="D11" s="116">
        <v>3</v>
      </c>
      <c r="E11" s="116">
        <v>5</v>
      </c>
      <c r="F11" s="116">
        <v>0</v>
      </c>
      <c r="G11" s="116">
        <f t="shared" si="0"/>
        <v>8</v>
      </c>
    </row>
    <row r="12" spans="2:7" ht="15.75">
      <c r="B12" s="116">
        <v>7</v>
      </c>
      <c r="C12" s="117" t="s">
        <v>17</v>
      </c>
      <c r="D12" s="116">
        <v>5</v>
      </c>
      <c r="E12" s="116">
        <v>3</v>
      </c>
      <c r="F12" s="116">
        <v>0</v>
      </c>
      <c r="G12" s="116">
        <f t="shared" si="0"/>
        <v>8</v>
      </c>
    </row>
    <row r="13" spans="2:7" ht="15.75">
      <c r="B13" s="116">
        <v>8</v>
      </c>
      <c r="C13" s="117" t="s">
        <v>26</v>
      </c>
      <c r="D13" s="116">
        <v>1</v>
      </c>
      <c r="E13" s="116">
        <v>4</v>
      </c>
      <c r="F13" s="116">
        <v>0</v>
      </c>
      <c r="G13" s="116">
        <f t="shared" si="0"/>
        <v>5</v>
      </c>
    </row>
    <row r="14" spans="2:7" ht="15.75">
      <c r="B14" s="116">
        <v>9</v>
      </c>
      <c r="C14" s="117" t="s">
        <v>11</v>
      </c>
      <c r="D14" s="116">
        <v>1</v>
      </c>
      <c r="E14" s="116">
        <v>5</v>
      </c>
      <c r="F14" s="116">
        <v>0</v>
      </c>
      <c r="G14" s="116">
        <f t="shared" si="0"/>
        <v>6</v>
      </c>
    </row>
    <row r="15" spans="2:7" ht="15.75">
      <c r="B15" s="116">
        <v>10</v>
      </c>
      <c r="C15" s="117" t="s">
        <v>90</v>
      </c>
      <c r="D15" s="116">
        <v>0</v>
      </c>
      <c r="E15" s="116">
        <v>1</v>
      </c>
      <c r="F15" s="116">
        <v>0</v>
      </c>
      <c r="G15" s="116">
        <f t="shared" si="0"/>
        <v>1</v>
      </c>
    </row>
    <row r="16" spans="2:7" ht="15.75">
      <c r="B16" s="116">
        <v>11</v>
      </c>
      <c r="C16" s="117" t="s">
        <v>92</v>
      </c>
      <c r="D16" s="116">
        <v>0</v>
      </c>
      <c r="E16" s="116">
        <v>2</v>
      </c>
      <c r="F16" s="116">
        <v>0</v>
      </c>
      <c r="G16" s="116">
        <f t="shared" si="0"/>
        <v>2</v>
      </c>
    </row>
    <row r="17" spans="2:7" ht="15.75">
      <c r="B17" s="116">
        <v>12</v>
      </c>
      <c r="C17" s="117" t="s">
        <v>51</v>
      </c>
      <c r="D17" s="116">
        <v>0</v>
      </c>
      <c r="E17" s="116">
        <v>1</v>
      </c>
      <c r="F17" s="116">
        <v>0</v>
      </c>
      <c r="G17" s="116">
        <f t="shared" si="0"/>
        <v>1</v>
      </c>
    </row>
    <row r="18" spans="2:7" ht="15.75">
      <c r="B18" s="116">
        <v>13</v>
      </c>
      <c r="C18" s="117" t="s">
        <v>52</v>
      </c>
      <c r="D18" s="116">
        <v>0</v>
      </c>
      <c r="E18" s="116">
        <v>1</v>
      </c>
      <c r="F18" s="116">
        <v>0</v>
      </c>
      <c r="G18" s="116">
        <f t="shared" si="0"/>
        <v>1</v>
      </c>
    </row>
    <row r="19" spans="2:7" ht="15.75">
      <c r="B19" s="116">
        <v>14</v>
      </c>
      <c r="C19" s="117" t="s">
        <v>28</v>
      </c>
      <c r="D19" s="116">
        <v>0</v>
      </c>
      <c r="E19" s="116">
        <v>3</v>
      </c>
      <c r="F19" s="116">
        <v>0</v>
      </c>
      <c r="G19" s="116">
        <f t="shared" si="0"/>
        <v>3</v>
      </c>
    </row>
    <row r="20" spans="2:7" ht="15.75">
      <c r="B20" s="116">
        <v>15</v>
      </c>
      <c r="C20" s="117" t="s">
        <v>10</v>
      </c>
      <c r="D20" s="116">
        <v>45</v>
      </c>
      <c r="E20" s="116">
        <v>14</v>
      </c>
      <c r="F20" s="116">
        <v>0</v>
      </c>
      <c r="G20" s="116">
        <f t="shared" si="0"/>
        <v>59</v>
      </c>
    </row>
    <row r="21" spans="2:7" ht="15.75">
      <c r="B21" s="116">
        <v>16</v>
      </c>
      <c r="C21" s="117" t="s">
        <v>98</v>
      </c>
      <c r="D21" s="116">
        <v>0</v>
      </c>
      <c r="E21" s="116">
        <v>2</v>
      </c>
      <c r="F21" s="116">
        <v>0</v>
      </c>
      <c r="G21" s="116">
        <f t="shared" si="0"/>
        <v>2</v>
      </c>
    </row>
    <row r="22" spans="2:7" ht="15.75">
      <c r="B22" s="116">
        <v>17</v>
      </c>
      <c r="C22" s="117" t="s">
        <v>35</v>
      </c>
      <c r="D22" s="116">
        <v>2</v>
      </c>
      <c r="E22" s="116">
        <v>2</v>
      </c>
      <c r="F22" s="116">
        <v>0</v>
      </c>
      <c r="G22" s="116">
        <f t="shared" si="0"/>
        <v>4</v>
      </c>
    </row>
    <row r="23" spans="2:7" ht="15.75">
      <c r="B23" s="116">
        <v>18</v>
      </c>
      <c r="C23" s="117" t="s">
        <v>54</v>
      </c>
      <c r="D23" s="116">
        <v>1</v>
      </c>
      <c r="E23" s="116">
        <v>1</v>
      </c>
      <c r="F23" s="116">
        <v>0</v>
      </c>
      <c r="G23" s="116">
        <f t="shared" si="0"/>
        <v>2</v>
      </c>
    </row>
    <row r="24" spans="2:7" ht="15.75">
      <c r="B24" s="116">
        <v>19</v>
      </c>
      <c r="C24" s="117" t="s">
        <v>102</v>
      </c>
      <c r="D24" s="116">
        <v>0</v>
      </c>
      <c r="E24" s="116">
        <v>1</v>
      </c>
      <c r="F24" s="116">
        <v>0</v>
      </c>
      <c r="G24" s="116">
        <f t="shared" si="0"/>
        <v>1</v>
      </c>
    </row>
    <row r="25" spans="2:7" ht="15.75">
      <c r="B25" s="116">
        <v>20</v>
      </c>
      <c r="C25" s="117" t="s">
        <v>104</v>
      </c>
      <c r="D25" s="116">
        <v>0</v>
      </c>
      <c r="E25" s="116">
        <v>5</v>
      </c>
      <c r="F25" s="116">
        <v>0</v>
      </c>
      <c r="G25" s="116">
        <f t="shared" si="0"/>
        <v>5</v>
      </c>
    </row>
    <row r="26" spans="2:7" ht="15.75">
      <c r="B26" s="116">
        <v>21</v>
      </c>
      <c r="C26" s="117" t="s">
        <v>106</v>
      </c>
      <c r="D26" s="116">
        <v>0</v>
      </c>
      <c r="E26" s="116">
        <v>1</v>
      </c>
      <c r="F26" s="116">
        <v>0</v>
      </c>
      <c r="G26" s="116">
        <f t="shared" si="0"/>
        <v>1</v>
      </c>
    </row>
    <row r="27" spans="2:7" ht="15.75">
      <c r="B27" s="114">
        <v>22</v>
      </c>
      <c r="C27" s="115" t="s">
        <v>108</v>
      </c>
      <c r="D27" s="115">
        <v>0</v>
      </c>
      <c r="E27" s="114">
        <v>1</v>
      </c>
      <c r="F27" s="114">
        <v>0</v>
      </c>
      <c r="G27" s="115">
        <f t="shared" si="0"/>
        <v>1</v>
      </c>
    </row>
    <row r="28" spans="2:7" ht="30.75">
      <c r="B28" s="114">
        <v>23</v>
      </c>
      <c r="C28" s="115" t="s">
        <v>59</v>
      </c>
      <c r="D28" s="115">
        <v>0</v>
      </c>
      <c r="E28" s="114">
        <v>1</v>
      </c>
      <c r="F28" s="114">
        <v>0</v>
      </c>
      <c r="G28" s="115">
        <f t="shared" si="0"/>
        <v>1</v>
      </c>
    </row>
    <row r="29" spans="2:7" ht="30.75">
      <c r="B29" s="114">
        <v>24</v>
      </c>
      <c r="C29" s="115" t="s">
        <v>60</v>
      </c>
      <c r="D29" s="115">
        <v>0</v>
      </c>
      <c r="E29" s="114">
        <v>1</v>
      </c>
      <c r="F29" s="114">
        <v>0</v>
      </c>
      <c r="G29" s="115">
        <f t="shared" si="0"/>
        <v>1</v>
      </c>
    </row>
    <row r="30" spans="2:7" ht="15.75">
      <c r="B30" s="118" t="s">
        <v>113</v>
      </c>
      <c r="C30" s="119" t="s">
        <v>13</v>
      </c>
      <c r="D30" s="119">
        <f>SUM(D6:D29)</f>
        <v>61</v>
      </c>
      <c r="E30" s="118">
        <f>SUM(E6:E29)</f>
        <v>64</v>
      </c>
      <c r="F30" s="118">
        <v>0</v>
      </c>
      <c r="G30" s="119">
        <f t="shared" si="0"/>
        <v>125</v>
      </c>
    </row>
    <row r="31" spans="2:7" ht="15.75">
      <c r="B31" s="114">
        <v>1</v>
      </c>
      <c r="C31" s="115" t="s">
        <v>16</v>
      </c>
      <c r="D31" s="114">
        <v>23</v>
      </c>
      <c r="E31" s="114">
        <v>6</v>
      </c>
      <c r="F31" s="114">
        <v>0</v>
      </c>
      <c r="G31" s="114">
        <v>29</v>
      </c>
    </row>
    <row r="32" spans="2:7" ht="30.75">
      <c r="B32" s="116">
        <v>1</v>
      </c>
      <c r="C32" s="117" t="s">
        <v>110</v>
      </c>
      <c r="D32" s="116">
        <v>25</v>
      </c>
      <c r="E32" s="116">
        <v>12</v>
      </c>
      <c r="F32" s="116">
        <v>0</v>
      </c>
      <c r="G32" s="116">
        <v>38</v>
      </c>
    </row>
    <row r="33" spans="2:7" ht="15.75">
      <c r="B33" s="118" t="s">
        <v>135</v>
      </c>
      <c r="C33" s="119" t="s">
        <v>13</v>
      </c>
      <c r="D33" s="118">
        <f>SUM(D30:D32)</f>
        <v>109</v>
      </c>
      <c r="E33" s="118">
        <f>SUM(E30:E32)</f>
        <v>82</v>
      </c>
      <c r="F33" s="118">
        <v>0</v>
      </c>
      <c r="G33" s="120">
        <f>G30+G31+G32</f>
        <v>192</v>
      </c>
    </row>
    <row r="34" spans="2:7" ht="15.75">
      <c r="B34" s="1434" t="s">
        <v>136</v>
      </c>
      <c r="C34" s="1434"/>
      <c r="D34" s="1434"/>
      <c r="E34" s="1434"/>
      <c r="F34" s="1434"/>
      <c r="G34" s="1434"/>
    </row>
    <row r="35" spans="2:7" ht="15.75">
      <c r="B35" s="118"/>
      <c r="C35" s="115" t="s">
        <v>13</v>
      </c>
      <c r="D35" s="114">
        <v>108</v>
      </c>
      <c r="E35" s="114">
        <v>79</v>
      </c>
      <c r="F35" s="117">
        <v>0</v>
      </c>
      <c r="G35" s="116">
        <v>187</v>
      </c>
    </row>
  </sheetData>
  <mergeCells count="4">
    <mergeCell ref="B1:G1"/>
    <mergeCell ref="B2:G2"/>
    <mergeCell ref="B3:G3"/>
    <mergeCell ref="B34:G34"/>
  </mergeCells>
  <pageMargins left="0.7" right="0.7" top="0.75" bottom="0.75" header="0.3" footer="0.3"/>
  <pageSetup paperSize="9" scale="120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R14" sqref="R14"/>
    </sheetView>
  </sheetViews>
  <sheetFormatPr defaultRowHeight="15"/>
  <sheetData>
    <row r="1" spans="1:15" ht="15.75">
      <c r="A1" s="1560">
        <v>81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</row>
    <row r="2" spans="1:15" ht="15.75">
      <c r="A2" s="1596" t="s">
        <v>633</v>
      </c>
      <c r="B2" s="1596"/>
      <c r="C2" s="1596"/>
      <c r="D2" s="1596"/>
      <c r="E2" s="1596"/>
      <c r="F2" s="1596"/>
      <c r="G2" s="1596"/>
      <c r="H2" s="1596"/>
      <c r="I2" s="256"/>
      <c r="J2" s="1596" t="s">
        <v>314</v>
      </c>
      <c r="K2" s="1596"/>
      <c r="L2" s="1596"/>
      <c r="M2" s="1596"/>
      <c r="N2" s="1596"/>
      <c r="O2" s="1596"/>
    </row>
    <row r="3" spans="1:15" ht="15.75">
      <c r="B3" s="257"/>
      <c r="C3" s="257"/>
      <c r="D3" s="257"/>
      <c r="E3" s="257"/>
      <c r="F3" s="1610" t="s">
        <v>563</v>
      </c>
      <c r="G3" s="1610"/>
      <c r="H3" s="1610"/>
      <c r="I3" s="1610"/>
      <c r="J3" s="1610"/>
      <c r="K3" s="1610"/>
      <c r="L3" s="1611" t="s">
        <v>315</v>
      </c>
      <c r="M3" s="1611"/>
      <c r="N3" s="1611"/>
      <c r="O3" s="1611"/>
    </row>
    <row r="4" spans="1:15" ht="15.75"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8"/>
      <c r="M4" s="258"/>
      <c r="N4" s="258"/>
      <c r="O4" s="258"/>
    </row>
    <row r="5" spans="1:15" ht="38.25">
      <c r="A5" s="248" t="s">
        <v>130</v>
      </c>
      <c r="B5" s="248" t="s">
        <v>131</v>
      </c>
      <c r="C5" s="248" t="s">
        <v>310</v>
      </c>
      <c r="D5" s="248" t="s">
        <v>311</v>
      </c>
      <c r="E5" s="248" t="s">
        <v>211</v>
      </c>
      <c r="F5" s="248" t="s">
        <v>212</v>
      </c>
      <c r="G5" s="248" t="s">
        <v>213</v>
      </c>
      <c r="H5" s="248" t="s">
        <v>312</v>
      </c>
      <c r="I5" s="249"/>
      <c r="J5" s="248" t="s">
        <v>316</v>
      </c>
      <c r="K5" s="248" t="s">
        <v>311</v>
      </c>
      <c r="L5" s="248" t="s">
        <v>211</v>
      </c>
      <c r="M5" s="248" t="s">
        <v>212</v>
      </c>
      <c r="N5" s="248" t="s">
        <v>213</v>
      </c>
      <c r="O5" s="248" t="s">
        <v>312</v>
      </c>
    </row>
    <row r="6" spans="1:15" s="344" customFormat="1">
      <c r="A6" s="250">
        <v>1</v>
      </c>
      <c r="B6" s="251" t="s">
        <v>78</v>
      </c>
      <c r="C6" s="486">
        <v>0</v>
      </c>
      <c r="D6" s="487">
        <v>0</v>
      </c>
      <c r="E6" s="487">
        <v>0</v>
      </c>
      <c r="F6" s="487">
        <v>0</v>
      </c>
      <c r="G6" s="487">
        <v>0</v>
      </c>
      <c r="H6" s="488">
        <f>E6-F6</f>
        <v>0</v>
      </c>
      <c r="I6" s="549"/>
      <c r="J6" s="490">
        <v>0</v>
      </c>
      <c r="K6" s="487">
        <v>0</v>
      </c>
      <c r="L6" s="487">
        <v>0</v>
      </c>
      <c r="M6" s="487">
        <v>0</v>
      </c>
      <c r="N6" s="487">
        <v>0</v>
      </c>
      <c r="O6" s="487">
        <f>L6-M6</f>
        <v>0</v>
      </c>
    </row>
    <row r="7" spans="1:15" s="344" customFormat="1">
      <c r="A7" s="250">
        <v>2</v>
      </c>
      <c r="B7" s="251" t="s">
        <v>27</v>
      </c>
      <c r="C7" s="486">
        <v>0</v>
      </c>
      <c r="D7" s="487">
        <v>0</v>
      </c>
      <c r="E7" s="487">
        <v>0</v>
      </c>
      <c r="F7" s="487">
        <v>0</v>
      </c>
      <c r="G7" s="487">
        <v>0</v>
      </c>
      <c r="H7" s="488">
        <f t="shared" ref="H7:H26" si="0">E7-F7</f>
        <v>0</v>
      </c>
      <c r="I7" s="489"/>
      <c r="J7" s="490">
        <v>0</v>
      </c>
      <c r="K7" s="487">
        <v>0</v>
      </c>
      <c r="L7" s="487">
        <v>0</v>
      </c>
      <c r="M7" s="487">
        <v>0</v>
      </c>
      <c r="N7" s="487">
        <v>0</v>
      </c>
      <c r="O7" s="487">
        <f t="shared" ref="O7:O27" si="1">L7-M7</f>
        <v>0</v>
      </c>
    </row>
    <row r="8" spans="1:15" s="344" customFormat="1">
      <c r="A8" s="250">
        <v>3</v>
      </c>
      <c r="B8" s="251" t="s">
        <v>46</v>
      </c>
      <c r="C8" s="486">
        <v>0</v>
      </c>
      <c r="D8" s="487">
        <v>0</v>
      </c>
      <c r="E8" s="487">
        <v>0</v>
      </c>
      <c r="F8" s="487">
        <v>0</v>
      </c>
      <c r="G8" s="487">
        <v>0</v>
      </c>
      <c r="H8" s="488">
        <f t="shared" si="0"/>
        <v>0</v>
      </c>
      <c r="I8" s="549"/>
      <c r="J8" s="490">
        <v>0</v>
      </c>
      <c r="K8" s="487">
        <v>0</v>
      </c>
      <c r="L8" s="487">
        <v>0</v>
      </c>
      <c r="M8" s="487">
        <v>0</v>
      </c>
      <c r="N8" s="487">
        <v>0</v>
      </c>
      <c r="O8" s="487">
        <f t="shared" si="1"/>
        <v>0</v>
      </c>
    </row>
    <row r="9" spans="1:15" s="344" customFormat="1">
      <c r="A9" s="250">
        <v>4</v>
      </c>
      <c r="B9" s="251" t="s">
        <v>32</v>
      </c>
      <c r="C9" s="486">
        <v>0</v>
      </c>
      <c r="D9" s="487">
        <v>0</v>
      </c>
      <c r="E9" s="487">
        <v>0</v>
      </c>
      <c r="F9" s="487">
        <v>0</v>
      </c>
      <c r="G9" s="487">
        <v>0</v>
      </c>
      <c r="H9" s="488">
        <f t="shared" si="0"/>
        <v>0</v>
      </c>
      <c r="I9" s="489"/>
      <c r="J9" s="490">
        <v>0</v>
      </c>
      <c r="K9" s="487">
        <v>0</v>
      </c>
      <c r="L9" s="487">
        <v>0</v>
      </c>
      <c r="M9" s="487">
        <v>0</v>
      </c>
      <c r="N9" s="487">
        <v>0</v>
      </c>
      <c r="O9" s="487">
        <f t="shared" si="1"/>
        <v>0</v>
      </c>
    </row>
    <row r="10" spans="1:15" s="344" customFormat="1">
      <c r="A10" s="250">
        <v>5</v>
      </c>
      <c r="B10" s="251" t="s">
        <v>83</v>
      </c>
      <c r="C10" s="486">
        <v>0</v>
      </c>
      <c r="D10" s="487">
        <v>0</v>
      </c>
      <c r="E10" s="487">
        <v>0</v>
      </c>
      <c r="F10" s="487">
        <v>0</v>
      </c>
      <c r="G10" s="487">
        <v>0</v>
      </c>
      <c r="H10" s="488">
        <f t="shared" si="0"/>
        <v>0</v>
      </c>
      <c r="I10" s="549"/>
      <c r="J10" s="490">
        <v>0</v>
      </c>
      <c r="K10" s="487">
        <v>0</v>
      </c>
      <c r="L10" s="487">
        <v>0</v>
      </c>
      <c r="M10" s="487">
        <v>0</v>
      </c>
      <c r="N10" s="487">
        <v>0</v>
      </c>
      <c r="O10" s="487">
        <f t="shared" si="1"/>
        <v>0</v>
      </c>
    </row>
    <row r="11" spans="1:15" s="344" customFormat="1">
      <c r="A11" s="250">
        <v>6</v>
      </c>
      <c r="B11" s="251" t="s">
        <v>85</v>
      </c>
      <c r="C11" s="486">
        <v>0</v>
      </c>
      <c r="D11" s="487">
        <v>0</v>
      </c>
      <c r="E11" s="487">
        <v>0</v>
      </c>
      <c r="F11" s="487">
        <v>0</v>
      </c>
      <c r="G11" s="487">
        <v>0</v>
      </c>
      <c r="H11" s="488">
        <f t="shared" si="0"/>
        <v>0</v>
      </c>
      <c r="I11" s="489"/>
      <c r="J11" s="490">
        <v>0</v>
      </c>
      <c r="K11" s="487">
        <v>0</v>
      </c>
      <c r="L11" s="487">
        <v>0</v>
      </c>
      <c r="M11" s="487">
        <v>0</v>
      </c>
      <c r="N11" s="487">
        <v>0</v>
      </c>
      <c r="O11" s="487">
        <f t="shared" si="1"/>
        <v>0</v>
      </c>
    </row>
    <row r="12" spans="1:15" s="344" customFormat="1">
      <c r="A12" s="250">
        <v>7</v>
      </c>
      <c r="B12" s="251" t="s">
        <v>17</v>
      </c>
      <c r="C12" s="486">
        <v>0</v>
      </c>
      <c r="D12" s="487">
        <v>0</v>
      </c>
      <c r="E12" s="487">
        <v>0</v>
      </c>
      <c r="F12" s="487">
        <v>0</v>
      </c>
      <c r="G12" s="487">
        <v>0</v>
      </c>
      <c r="H12" s="488">
        <f t="shared" si="0"/>
        <v>0</v>
      </c>
      <c r="I12" s="489"/>
      <c r="J12" s="490">
        <v>0</v>
      </c>
      <c r="K12" s="487">
        <v>0</v>
      </c>
      <c r="L12" s="487">
        <v>0</v>
      </c>
      <c r="M12" s="487">
        <v>0</v>
      </c>
      <c r="N12" s="487">
        <v>0</v>
      </c>
      <c r="O12" s="487">
        <f t="shared" si="1"/>
        <v>0</v>
      </c>
    </row>
    <row r="13" spans="1:15" s="357" customFormat="1">
      <c r="A13" s="479">
        <v>8</v>
      </c>
      <c r="B13" s="480" t="s">
        <v>26</v>
      </c>
      <c r="C13" s="677">
        <v>0</v>
      </c>
      <c r="D13" s="678">
        <v>0</v>
      </c>
      <c r="E13" s="678">
        <v>0</v>
      </c>
      <c r="F13" s="678">
        <v>0</v>
      </c>
      <c r="G13" s="678">
        <v>0</v>
      </c>
      <c r="H13" s="679">
        <f t="shared" si="0"/>
        <v>0</v>
      </c>
      <c r="I13" s="680"/>
      <c r="J13" s="681">
        <v>0</v>
      </c>
      <c r="K13" s="678">
        <v>0</v>
      </c>
      <c r="L13" s="678">
        <v>0</v>
      </c>
      <c r="M13" s="678">
        <v>0</v>
      </c>
      <c r="N13" s="678">
        <v>0</v>
      </c>
      <c r="O13" s="678">
        <f t="shared" si="1"/>
        <v>0</v>
      </c>
    </row>
    <row r="14" spans="1:15" s="344" customFormat="1">
      <c r="A14" s="250">
        <v>9</v>
      </c>
      <c r="B14" s="251" t="s">
        <v>11</v>
      </c>
      <c r="C14" s="486">
        <v>0</v>
      </c>
      <c r="D14" s="487">
        <v>0</v>
      </c>
      <c r="E14" s="487">
        <v>0</v>
      </c>
      <c r="F14" s="487">
        <v>0</v>
      </c>
      <c r="G14" s="487">
        <v>0</v>
      </c>
      <c r="H14" s="488">
        <f t="shared" si="0"/>
        <v>0</v>
      </c>
      <c r="I14" s="489"/>
      <c r="J14" s="490">
        <v>0</v>
      </c>
      <c r="K14" s="487">
        <v>0</v>
      </c>
      <c r="L14" s="487">
        <v>0</v>
      </c>
      <c r="M14" s="487">
        <v>0</v>
      </c>
      <c r="N14" s="487">
        <v>0</v>
      </c>
      <c r="O14" s="487">
        <f t="shared" si="1"/>
        <v>0</v>
      </c>
    </row>
    <row r="15" spans="1:15" s="344" customFormat="1">
      <c r="A15" s="250">
        <v>10</v>
      </c>
      <c r="B15" s="251" t="s">
        <v>90</v>
      </c>
      <c r="C15" s="486">
        <v>0</v>
      </c>
      <c r="D15" s="487">
        <v>0</v>
      </c>
      <c r="E15" s="487">
        <v>0</v>
      </c>
      <c r="F15" s="487">
        <v>0</v>
      </c>
      <c r="G15" s="487">
        <v>0</v>
      </c>
      <c r="H15" s="488">
        <f t="shared" si="0"/>
        <v>0</v>
      </c>
      <c r="I15" s="549"/>
      <c r="J15" s="490">
        <v>0</v>
      </c>
      <c r="K15" s="487">
        <v>0</v>
      </c>
      <c r="L15" s="487">
        <v>0</v>
      </c>
      <c r="M15" s="487">
        <v>0</v>
      </c>
      <c r="N15" s="487">
        <v>0</v>
      </c>
      <c r="O15" s="487">
        <f t="shared" si="1"/>
        <v>0</v>
      </c>
    </row>
    <row r="16" spans="1:15" s="344" customFormat="1">
      <c r="A16" s="250">
        <v>11</v>
      </c>
      <c r="B16" s="251" t="s">
        <v>92</v>
      </c>
      <c r="C16" s="486">
        <v>0</v>
      </c>
      <c r="D16" s="487">
        <v>0</v>
      </c>
      <c r="E16" s="487">
        <v>0</v>
      </c>
      <c r="F16" s="487">
        <v>0</v>
      </c>
      <c r="G16" s="487">
        <v>0</v>
      </c>
      <c r="H16" s="488">
        <f t="shared" si="0"/>
        <v>0</v>
      </c>
      <c r="I16" s="489"/>
      <c r="J16" s="490">
        <v>0</v>
      </c>
      <c r="K16" s="487">
        <v>0</v>
      </c>
      <c r="L16" s="487">
        <v>0</v>
      </c>
      <c r="M16" s="487">
        <v>0</v>
      </c>
      <c r="N16" s="735">
        <v>0</v>
      </c>
      <c r="O16" s="487">
        <f t="shared" si="1"/>
        <v>0</v>
      </c>
    </row>
    <row r="17" spans="1:15" s="344" customFormat="1">
      <c r="A17" s="250">
        <v>12</v>
      </c>
      <c r="B17" s="251" t="s">
        <v>51</v>
      </c>
      <c r="C17" s="486">
        <v>0</v>
      </c>
      <c r="D17" s="487">
        <v>0</v>
      </c>
      <c r="E17" s="487">
        <v>0</v>
      </c>
      <c r="F17" s="487">
        <v>0</v>
      </c>
      <c r="G17" s="487">
        <v>0</v>
      </c>
      <c r="H17" s="488">
        <f t="shared" si="0"/>
        <v>0</v>
      </c>
      <c r="I17" s="489"/>
      <c r="J17" s="490">
        <v>0</v>
      </c>
      <c r="K17" s="487">
        <v>0</v>
      </c>
      <c r="L17" s="487">
        <v>0</v>
      </c>
      <c r="M17" s="487">
        <v>0</v>
      </c>
      <c r="N17" s="487">
        <v>0</v>
      </c>
      <c r="O17" s="487">
        <f t="shared" si="1"/>
        <v>0</v>
      </c>
    </row>
    <row r="18" spans="1:15" s="344" customFormat="1">
      <c r="A18" s="250">
        <v>13</v>
      </c>
      <c r="B18" s="251" t="s">
        <v>52</v>
      </c>
      <c r="C18" s="486">
        <v>0</v>
      </c>
      <c r="D18" s="487">
        <v>0</v>
      </c>
      <c r="E18" s="487">
        <v>0</v>
      </c>
      <c r="F18" s="487">
        <v>0</v>
      </c>
      <c r="G18" s="487">
        <v>0</v>
      </c>
      <c r="H18" s="488">
        <f t="shared" si="0"/>
        <v>0</v>
      </c>
      <c r="I18" s="549"/>
      <c r="J18" s="490">
        <v>0</v>
      </c>
      <c r="K18" s="487">
        <v>0</v>
      </c>
      <c r="L18" s="487">
        <v>0</v>
      </c>
      <c r="M18" s="487">
        <v>0</v>
      </c>
      <c r="N18" s="487">
        <v>0</v>
      </c>
      <c r="O18" s="487">
        <f t="shared" si="1"/>
        <v>0</v>
      </c>
    </row>
    <row r="19" spans="1:15" s="344" customFormat="1">
      <c r="A19" s="250">
        <v>14</v>
      </c>
      <c r="B19" s="251" t="s">
        <v>28</v>
      </c>
      <c r="C19" s="486">
        <v>0</v>
      </c>
      <c r="D19" s="487">
        <v>0</v>
      </c>
      <c r="E19" s="487">
        <v>0</v>
      </c>
      <c r="F19" s="487">
        <v>0</v>
      </c>
      <c r="G19" s="487">
        <v>0</v>
      </c>
      <c r="H19" s="488">
        <f t="shared" si="0"/>
        <v>0</v>
      </c>
      <c r="I19" s="489"/>
      <c r="J19" s="490">
        <v>0</v>
      </c>
      <c r="K19" s="487">
        <v>0</v>
      </c>
      <c r="L19" s="487">
        <v>0</v>
      </c>
      <c r="M19" s="487">
        <v>0</v>
      </c>
      <c r="N19" s="487">
        <v>0</v>
      </c>
      <c r="O19" s="487">
        <f t="shared" si="1"/>
        <v>0</v>
      </c>
    </row>
    <row r="20" spans="1:15" s="344" customFormat="1">
      <c r="A20" s="250">
        <v>15</v>
      </c>
      <c r="B20" s="251" t="s">
        <v>10</v>
      </c>
      <c r="C20" s="486">
        <v>0</v>
      </c>
      <c r="D20" s="487">
        <v>0</v>
      </c>
      <c r="E20" s="487">
        <v>0</v>
      </c>
      <c r="F20" s="487">
        <v>0</v>
      </c>
      <c r="G20" s="487">
        <v>0</v>
      </c>
      <c r="H20" s="488">
        <f>E20-F20</f>
        <v>0</v>
      </c>
      <c r="I20" s="489"/>
      <c r="J20" s="490">
        <v>0</v>
      </c>
      <c r="K20" s="487">
        <v>0</v>
      </c>
      <c r="L20" s="487">
        <v>0</v>
      </c>
      <c r="M20" s="487">
        <v>0</v>
      </c>
      <c r="N20" s="487">
        <v>0</v>
      </c>
      <c r="O20" s="487">
        <v>0</v>
      </c>
    </row>
    <row r="21" spans="1:15" s="344" customFormat="1">
      <c r="A21" s="250">
        <v>16</v>
      </c>
      <c r="B21" s="251" t="s">
        <v>98</v>
      </c>
      <c r="C21" s="486">
        <v>0</v>
      </c>
      <c r="D21" s="487">
        <v>0</v>
      </c>
      <c r="E21" s="487">
        <v>0</v>
      </c>
      <c r="F21" s="487">
        <v>0</v>
      </c>
      <c r="G21" s="487">
        <v>0</v>
      </c>
      <c r="H21" s="488">
        <f t="shared" si="0"/>
        <v>0</v>
      </c>
      <c r="I21" s="489"/>
      <c r="J21" s="490">
        <v>0</v>
      </c>
      <c r="K21" s="487">
        <v>0</v>
      </c>
      <c r="L21" s="487">
        <v>0</v>
      </c>
      <c r="M21" s="487">
        <v>0</v>
      </c>
      <c r="N21" s="487">
        <v>0</v>
      </c>
      <c r="O21" s="487">
        <f t="shared" si="1"/>
        <v>0</v>
      </c>
    </row>
    <row r="22" spans="1:15" s="344" customFormat="1">
      <c r="A22" s="250">
        <v>17</v>
      </c>
      <c r="B22" s="251" t="s">
        <v>35</v>
      </c>
      <c r="C22" s="486">
        <v>32</v>
      </c>
      <c r="D22" s="487">
        <v>0.86</v>
      </c>
      <c r="E22" s="487">
        <v>0.86</v>
      </c>
      <c r="F22" s="487">
        <v>0</v>
      </c>
      <c r="G22" s="487">
        <v>0</v>
      </c>
      <c r="H22" s="488">
        <f t="shared" si="0"/>
        <v>0.86</v>
      </c>
      <c r="I22" s="688"/>
      <c r="J22" s="490">
        <v>0</v>
      </c>
      <c r="K22" s="487">
        <v>0</v>
      </c>
      <c r="L22" s="487">
        <v>0</v>
      </c>
      <c r="M22" s="487">
        <v>0</v>
      </c>
      <c r="N22" s="487">
        <v>0</v>
      </c>
      <c r="O22" s="487">
        <f t="shared" si="1"/>
        <v>0</v>
      </c>
    </row>
    <row r="23" spans="1:15" s="344" customFormat="1">
      <c r="A23" s="250">
        <v>18</v>
      </c>
      <c r="B23" s="251" t="s">
        <v>54</v>
      </c>
      <c r="C23" s="486">
        <v>2</v>
      </c>
      <c r="D23" s="487">
        <v>20</v>
      </c>
      <c r="E23" s="487">
        <v>1.1200000000000001</v>
      </c>
      <c r="F23" s="487">
        <v>0</v>
      </c>
      <c r="G23" s="487">
        <v>0</v>
      </c>
      <c r="H23" s="488">
        <f t="shared" si="0"/>
        <v>1.1200000000000001</v>
      </c>
      <c r="I23" s="489"/>
      <c r="J23" s="490">
        <v>0</v>
      </c>
      <c r="K23" s="487">
        <v>0</v>
      </c>
      <c r="L23" s="487">
        <v>0</v>
      </c>
      <c r="M23" s="487">
        <v>0</v>
      </c>
      <c r="N23" s="487">
        <v>0</v>
      </c>
      <c r="O23" s="487">
        <f t="shared" si="1"/>
        <v>0</v>
      </c>
    </row>
    <row r="24" spans="1:15" s="344" customFormat="1" ht="14.25" customHeight="1">
      <c r="A24" s="250">
        <v>19</v>
      </c>
      <c r="B24" s="251" t="s">
        <v>102</v>
      </c>
      <c r="C24" s="486">
        <v>0</v>
      </c>
      <c r="D24" s="487">
        <v>0</v>
      </c>
      <c r="E24" s="487">
        <v>0</v>
      </c>
      <c r="F24" s="487">
        <v>0</v>
      </c>
      <c r="G24" s="487">
        <v>0</v>
      </c>
      <c r="H24" s="488">
        <f t="shared" si="0"/>
        <v>0</v>
      </c>
      <c r="I24" s="549"/>
      <c r="J24" s="490">
        <v>0</v>
      </c>
      <c r="K24" s="487">
        <v>0</v>
      </c>
      <c r="L24" s="487">
        <v>0</v>
      </c>
      <c r="M24" s="487">
        <v>0</v>
      </c>
      <c r="N24" s="487">
        <v>0</v>
      </c>
      <c r="O24" s="487">
        <f t="shared" si="1"/>
        <v>0</v>
      </c>
    </row>
    <row r="25" spans="1:15" s="344" customFormat="1">
      <c r="A25" s="250">
        <v>20</v>
      </c>
      <c r="B25" s="251" t="s">
        <v>104</v>
      </c>
      <c r="C25" s="486">
        <v>0</v>
      </c>
      <c r="D25" s="487">
        <v>0</v>
      </c>
      <c r="E25" s="487">
        <v>0</v>
      </c>
      <c r="F25" s="487">
        <v>0</v>
      </c>
      <c r="G25" s="487">
        <v>0</v>
      </c>
      <c r="H25" s="488">
        <f t="shared" si="0"/>
        <v>0</v>
      </c>
      <c r="I25" s="489"/>
      <c r="J25" s="490">
        <v>0</v>
      </c>
      <c r="K25" s="487">
        <v>0</v>
      </c>
      <c r="L25" s="487">
        <v>0</v>
      </c>
      <c r="M25" s="487">
        <v>0</v>
      </c>
      <c r="N25" s="487">
        <v>0</v>
      </c>
      <c r="O25" s="487">
        <f t="shared" si="1"/>
        <v>0</v>
      </c>
    </row>
    <row r="26" spans="1:15" s="344" customFormat="1">
      <c r="A26" s="250">
        <v>21</v>
      </c>
      <c r="B26" s="251" t="s">
        <v>106</v>
      </c>
      <c r="C26" s="486">
        <v>0</v>
      </c>
      <c r="D26" s="487">
        <v>0</v>
      </c>
      <c r="E26" s="487">
        <v>0</v>
      </c>
      <c r="F26" s="487">
        <v>0</v>
      </c>
      <c r="G26" s="487">
        <v>0</v>
      </c>
      <c r="H26" s="488">
        <f t="shared" si="0"/>
        <v>0</v>
      </c>
      <c r="I26" s="489"/>
      <c r="J26" s="490">
        <v>0</v>
      </c>
      <c r="K26" s="487">
        <v>0</v>
      </c>
      <c r="L26" s="487">
        <v>0</v>
      </c>
      <c r="M26" s="487">
        <v>0</v>
      </c>
      <c r="N26" s="487">
        <v>0</v>
      </c>
      <c r="O26" s="487">
        <f t="shared" si="1"/>
        <v>0</v>
      </c>
    </row>
    <row r="27" spans="1:15" s="344" customFormat="1">
      <c r="A27" s="250">
        <v>22</v>
      </c>
      <c r="B27" s="251" t="s">
        <v>108</v>
      </c>
      <c r="C27" s="486">
        <v>0</v>
      </c>
      <c r="D27" s="487">
        <v>0</v>
      </c>
      <c r="E27" s="487">
        <v>0</v>
      </c>
      <c r="F27" s="487">
        <v>0</v>
      </c>
      <c r="G27" s="487">
        <v>0</v>
      </c>
      <c r="H27" s="488">
        <v>0</v>
      </c>
      <c r="I27" s="549"/>
      <c r="J27" s="490">
        <v>0</v>
      </c>
      <c r="K27" s="487">
        <v>0</v>
      </c>
      <c r="L27" s="487">
        <v>0</v>
      </c>
      <c r="M27" s="487">
        <v>0</v>
      </c>
      <c r="N27" s="487">
        <v>0</v>
      </c>
      <c r="O27" s="487">
        <f t="shared" si="1"/>
        <v>0</v>
      </c>
    </row>
    <row r="28" spans="1:15" s="344" customFormat="1">
      <c r="A28" s="795" t="s">
        <v>113</v>
      </c>
      <c r="B28" s="796" t="s">
        <v>13</v>
      </c>
      <c r="C28" s="796">
        <v>0</v>
      </c>
      <c r="D28" s="797">
        <v>0</v>
      </c>
      <c r="E28" s="797">
        <f>SUM(E6:E27)</f>
        <v>1.98</v>
      </c>
      <c r="F28" s="797">
        <f>SUM(F6:F27)</f>
        <v>0</v>
      </c>
      <c r="G28" s="797">
        <v>0</v>
      </c>
      <c r="H28" s="798">
        <f>SUM(H6:H27)</f>
        <v>1.98</v>
      </c>
      <c r="I28" s="799"/>
      <c r="J28" s="800">
        <f t="shared" ref="J28:O28" si="2">SUM(J6:J27)</f>
        <v>0</v>
      </c>
      <c r="K28" s="801">
        <f t="shared" si="2"/>
        <v>0</v>
      </c>
      <c r="L28" s="801">
        <f t="shared" si="2"/>
        <v>0</v>
      </c>
      <c r="M28" s="801">
        <f t="shared" si="2"/>
        <v>0</v>
      </c>
      <c r="N28" s="801">
        <f t="shared" si="2"/>
        <v>0</v>
      </c>
      <c r="O28" s="801">
        <f t="shared" si="2"/>
        <v>0</v>
      </c>
    </row>
    <row r="29" spans="1:15" s="344" customFormat="1">
      <c r="A29" s="250">
        <v>1</v>
      </c>
      <c r="B29" s="251" t="s">
        <v>16</v>
      </c>
      <c r="C29" s="486">
        <v>16</v>
      </c>
      <c r="D29" s="487">
        <v>8.0399999999999991</v>
      </c>
      <c r="E29" s="487">
        <v>0</v>
      </c>
      <c r="F29" s="487">
        <v>0</v>
      </c>
      <c r="G29" s="706">
        <v>0</v>
      </c>
      <c r="H29" s="488">
        <v>0</v>
      </c>
      <c r="I29" s="489"/>
      <c r="J29" s="490">
        <v>0</v>
      </c>
      <c r="K29" s="487">
        <v>0</v>
      </c>
      <c r="L29" s="487">
        <v>0</v>
      </c>
      <c r="M29" s="487">
        <v>0</v>
      </c>
      <c r="N29" s="487">
        <v>0</v>
      </c>
      <c r="O29" s="487">
        <f>L29-M29</f>
        <v>0</v>
      </c>
    </row>
    <row r="30" spans="1:15" s="344" customFormat="1">
      <c r="A30" s="707">
        <v>1</v>
      </c>
      <c r="B30" s="708" t="s">
        <v>110</v>
      </c>
      <c r="C30" s="709">
        <v>0</v>
      </c>
      <c r="D30" s="706">
        <v>0</v>
      </c>
      <c r="E30" s="706">
        <v>0</v>
      </c>
      <c r="F30" s="688">
        <v>0</v>
      </c>
      <c r="G30" s="710">
        <v>0</v>
      </c>
      <c r="H30" s="711">
        <v>0</v>
      </c>
      <c r="I30" s="489"/>
      <c r="J30" s="712">
        <v>0</v>
      </c>
      <c r="K30" s="706">
        <v>0</v>
      </c>
      <c r="L30" s="706">
        <v>0</v>
      </c>
      <c r="M30" s="706">
        <v>0</v>
      </c>
      <c r="N30" s="487">
        <v>0</v>
      </c>
      <c r="O30" s="487">
        <v>0</v>
      </c>
    </row>
    <row r="31" spans="1:15" s="344" customFormat="1">
      <c r="A31" s="802" t="s">
        <v>135</v>
      </c>
      <c r="B31" s="802" t="s">
        <v>13</v>
      </c>
      <c r="C31" s="802">
        <v>0</v>
      </c>
      <c r="D31" s="803">
        <v>0</v>
      </c>
      <c r="E31" s="803">
        <f>SUM(E28:E30)</f>
        <v>1.98</v>
      </c>
      <c r="F31" s="803">
        <f>SUM(F28:F30)</f>
        <v>0</v>
      </c>
      <c r="G31" s="804">
        <v>0</v>
      </c>
      <c r="H31" s="803">
        <f>SUM(H28:H30)</f>
        <v>1.98</v>
      </c>
      <c r="I31" s="799"/>
      <c r="J31" s="805">
        <f t="shared" ref="J31:O31" si="3">SUM(J28:J30)</f>
        <v>0</v>
      </c>
      <c r="K31" s="806">
        <f t="shared" si="3"/>
        <v>0</v>
      </c>
      <c r="L31" s="806">
        <f t="shared" si="3"/>
        <v>0</v>
      </c>
      <c r="M31" s="806">
        <f t="shared" si="3"/>
        <v>0</v>
      </c>
      <c r="N31" s="806">
        <v>0</v>
      </c>
      <c r="O31" s="806">
        <f t="shared" si="3"/>
        <v>0</v>
      </c>
    </row>
    <row r="32" spans="1:15" s="344" customFormat="1">
      <c r="A32" s="1708" t="s">
        <v>241</v>
      </c>
      <c r="B32" s="1709"/>
      <c r="C32" s="802"/>
      <c r="D32" s="803"/>
      <c r="E32" s="803"/>
      <c r="F32" s="803"/>
      <c r="G32" s="803"/>
      <c r="H32" s="803"/>
      <c r="I32" s="799"/>
      <c r="J32" s="802"/>
      <c r="K32" s="802"/>
      <c r="L32" s="803"/>
      <c r="M32" s="803"/>
      <c r="N32" s="797"/>
      <c r="O32" s="803"/>
    </row>
    <row r="33" spans="1:15">
      <c r="A33" s="171"/>
      <c r="B33" s="171"/>
      <c r="C33" s="171"/>
      <c r="D33" s="171"/>
      <c r="E33" s="171"/>
      <c r="F33" s="171"/>
      <c r="G33" s="171"/>
      <c r="H33" s="171"/>
      <c r="I33" s="243"/>
      <c r="J33" s="171"/>
      <c r="K33" s="171"/>
      <c r="L33" s="171"/>
      <c r="M33" s="171"/>
      <c r="N33" s="171"/>
      <c r="O33" s="171"/>
    </row>
    <row r="34" spans="1:15">
      <c r="B34" t="s">
        <v>307</v>
      </c>
      <c r="I34" s="229"/>
    </row>
  </sheetData>
  <mergeCells count="6">
    <mergeCell ref="A32:B32"/>
    <mergeCell ref="A1:O1"/>
    <mergeCell ref="A2:H2"/>
    <mergeCell ref="J2:O2"/>
    <mergeCell ref="F3:K3"/>
    <mergeCell ref="L3:O3"/>
  </mergeCells>
  <pageMargins left="0.7" right="0.7" top="0.75" bottom="0.75" header="0.3" footer="0.3"/>
  <pageSetup paperSize="9" scale="90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sqref="A1:K1"/>
    </sheetView>
  </sheetViews>
  <sheetFormatPr defaultRowHeight="15"/>
  <cols>
    <col min="4" max="4" width="9.5703125" bestFit="1" customWidth="1"/>
    <col min="10" max="10" width="12.28515625" bestFit="1" customWidth="1"/>
    <col min="11" max="11" width="11.140625" bestFit="1" customWidth="1"/>
  </cols>
  <sheetData>
    <row r="1" spans="1:11" ht="15.75">
      <c r="A1" s="1482">
        <v>82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pans="1:11" ht="18">
      <c r="A2" s="1614" t="s">
        <v>387</v>
      </c>
      <c r="B2" s="1614"/>
      <c r="C2" s="1614"/>
      <c r="D2" s="1614"/>
      <c r="E2" s="1614"/>
      <c r="F2" s="1614"/>
      <c r="G2" s="233"/>
      <c r="H2" s="1614" t="s">
        <v>388</v>
      </c>
      <c r="I2" s="1614"/>
      <c r="J2" s="1614"/>
      <c r="K2" s="1614"/>
    </row>
    <row r="3" spans="1:11" ht="15.75">
      <c r="A3" s="172"/>
      <c r="B3" s="172"/>
      <c r="C3" s="172"/>
      <c r="D3" s="172"/>
      <c r="E3" s="1531" t="s">
        <v>563</v>
      </c>
      <c r="F3" s="1531"/>
      <c r="G3" s="1531"/>
      <c r="H3" s="1531"/>
      <c r="I3" s="297"/>
      <c r="J3" s="1610" t="s">
        <v>389</v>
      </c>
      <c r="K3" s="1610"/>
    </row>
    <row r="4" spans="1:11" ht="75">
      <c r="A4" s="298" t="s">
        <v>130</v>
      </c>
      <c r="B4" s="298" t="s">
        <v>131</v>
      </c>
      <c r="C4" s="298" t="s">
        <v>390</v>
      </c>
      <c r="D4" s="298" t="s">
        <v>391</v>
      </c>
      <c r="E4" s="298" t="s">
        <v>392</v>
      </c>
      <c r="F4" s="298" t="s">
        <v>393</v>
      </c>
      <c r="G4" s="299"/>
      <c r="H4" s="298" t="s">
        <v>131</v>
      </c>
      <c r="I4" s="298" t="s">
        <v>394</v>
      </c>
      <c r="J4" s="298" t="s">
        <v>395</v>
      </c>
      <c r="K4" s="300" t="s">
        <v>396</v>
      </c>
    </row>
    <row r="5" spans="1:11" s="344" customFormat="1">
      <c r="A5" s="514">
        <v>1</v>
      </c>
      <c r="B5" s="514" t="s">
        <v>78</v>
      </c>
      <c r="C5" s="515">
        <v>0</v>
      </c>
      <c r="D5" s="506">
        <v>277.72000000000003</v>
      </c>
      <c r="E5" s="515">
        <v>0</v>
      </c>
      <c r="F5" s="506">
        <v>0</v>
      </c>
      <c r="G5" s="516"/>
      <c r="H5" s="514" t="s">
        <v>78</v>
      </c>
      <c r="I5" s="514">
        <v>0</v>
      </c>
      <c r="J5" s="514">
        <v>0</v>
      </c>
      <c r="K5" s="517">
        <v>0</v>
      </c>
    </row>
    <row r="6" spans="1:11">
      <c r="A6" s="514">
        <v>2</v>
      </c>
      <c r="B6" s="514" t="s">
        <v>27</v>
      </c>
      <c r="C6" s="515">
        <v>0</v>
      </c>
      <c r="D6" s="506">
        <v>27.6</v>
      </c>
      <c r="E6" s="515">
        <v>0</v>
      </c>
      <c r="F6" s="506">
        <v>0</v>
      </c>
      <c r="G6" s="516"/>
      <c r="H6" s="514" t="s">
        <v>27</v>
      </c>
      <c r="I6" s="514">
        <v>0</v>
      </c>
      <c r="J6" s="514">
        <v>0</v>
      </c>
      <c r="K6" s="517">
        <v>0</v>
      </c>
    </row>
    <row r="7" spans="1:11" s="344" customFormat="1">
      <c r="A7" s="514">
        <v>3</v>
      </c>
      <c r="B7" s="514" t="s">
        <v>46</v>
      </c>
      <c r="C7" s="515">
        <v>0</v>
      </c>
      <c r="D7" s="506">
        <v>88.1</v>
      </c>
      <c r="E7" s="515">
        <v>0</v>
      </c>
      <c r="F7" s="506">
        <v>0</v>
      </c>
      <c r="G7" s="516"/>
      <c r="H7" s="514" t="s">
        <v>46</v>
      </c>
      <c r="I7" s="514">
        <v>0</v>
      </c>
      <c r="J7" s="514">
        <v>0</v>
      </c>
      <c r="K7" s="517">
        <v>0</v>
      </c>
    </row>
    <row r="8" spans="1:11" s="344" customFormat="1">
      <c r="A8" s="514">
        <v>4</v>
      </c>
      <c r="B8" s="514" t="s">
        <v>32</v>
      </c>
      <c r="C8" s="515">
        <v>0</v>
      </c>
      <c r="D8" s="506">
        <v>433.46</v>
      </c>
      <c r="E8" s="515">
        <v>0</v>
      </c>
      <c r="F8" s="506">
        <v>0</v>
      </c>
      <c r="G8" s="516"/>
      <c r="H8" s="514" t="s">
        <v>32</v>
      </c>
      <c r="I8" s="514">
        <v>0</v>
      </c>
      <c r="J8" s="514">
        <v>0</v>
      </c>
      <c r="K8" s="517">
        <v>0</v>
      </c>
    </row>
    <row r="9" spans="1:11" s="344" customFormat="1">
      <c r="A9" s="514">
        <v>5</v>
      </c>
      <c r="B9" s="514" t="s">
        <v>83</v>
      </c>
      <c r="C9" s="515">
        <v>0</v>
      </c>
      <c r="D9" s="506">
        <v>0</v>
      </c>
      <c r="E9" s="515">
        <v>0</v>
      </c>
      <c r="F9" s="506">
        <v>0</v>
      </c>
      <c r="G9" s="516"/>
      <c r="H9" s="514" t="s">
        <v>83</v>
      </c>
      <c r="I9" s="514">
        <v>0</v>
      </c>
      <c r="J9" s="514">
        <v>0</v>
      </c>
      <c r="K9" s="517">
        <v>0</v>
      </c>
    </row>
    <row r="10" spans="1:11">
      <c r="A10" s="514">
        <v>6</v>
      </c>
      <c r="B10" s="514" t="s">
        <v>85</v>
      </c>
      <c r="C10" s="515">
        <v>0</v>
      </c>
      <c r="D10" s="506">
        <v>2927.89</v>
      </c>
      <c r="E10" s="515">
        <v>0</v>
      </c>
      <c r="F10" s="506">
        <v>0</v>
      </c>
      <c r="G10" s="516"/>
      <c r="H10" s="514" t="s">
        <v>85</v>
      </c>
      <c r="I10" s="514">
        <v>0</v>
      </c>
      <c r="J10" s="514">
        <v>0</v>
      </c>
      <c r="K10" s="517">
        <v>0</v>
      </c>
    </row>
    <row r="11" spans="1:11">
      <c r="A11" s="514">
        <v>7</v>
      </c>
      <c r="B11" s="514" t="s">
        <v>17</v>
      </c>
      <c r="C11" s="515">
        <v>0</v>
      </c>
      <c r="D11" s="506">
        <v>222.54</v>
      </c>
      <c r="E11" s="515">
        <v>0</v>
      </c>
      <c r="F11" s="506">
        <v>0</v>
      </c>
      <c r="G11" s="516"/>
      <c r="H11" s="514" t="s">
        <v>17</v>
      </c>
      <c r="I11" s="514">
        <v>0</v>
      </c>
      <c r="J11" s="514">
        <v>0</v>
      </c>
      <c r="K11" s="517">
        <v>0</v>
      </c>
    </row>
    <row r="12" spans="1:11" s="344" customFormat="1">
      <c r="A12" s="465">
        <v>8</v>
      </c>
      <c r="B12" s="465" t="s">
        <v>26</v>
      </c>
      <c r="C12" s="656">
        <v>0</v>
      </c>
      <c r="D12" s="352">
        <v>51.95</v>
      </c>
      <c r="E12" s="656">
        <v>0</v>
      </c>
      <c r="F12" s="352">
        <v>0</v>
      </c>
      <c r="G12" s="685"/>
      <c r="H12" s="465" t="s">
        <v>26</v>
      </c>
      <c r="I12" s="465">
        <v>0</v>
      </c>
      <c r="J12" s="465">
        <v>0</v>
      </c>
      <c r="K12" s="354">
        <v>0</v>
      </c>
    </row>
    <row r="13" spans="1:11" s="344" customFormat="1">
      <c r="A13" s="514">
        <v>9</v>
      </c>
      <c r="B13" s="514" t="s">
        <v>11</v>
      </c>
      <c r="C13" s="515">
        <v>0</v>
      </c>
      <c r="D13" s="506">
        <v>0</v>
      </c>
      <c r="E13" s="515">
        <v>0</v>
      </c>
      <c r="F13" s="506">
        <v>0</v>
      </c>
      <c r="G13" s="516"/>
      <c r="H13" s="514" t="s">
        <v>11</v>
      </c>
      <c r="I13" s="514">
        <v>0</v>
      </c>
      <c r="J13" s="514">
        <v>0</v>
      </c>
      <c r="K13" s="517">
        <v>0</v>
      </c>
    </row>
    <row r="14" spans="1:11" s="344" customFormat="1">
      <c r="A14" s="514">
        <v>10</v>
      </c>
      <c r="B14" s="514" t="s">
        <v>90</v>
      </c>
      <c r="C14" s="515">
        <v>0</v>
      </c>
      <c r="D14" s="506">
        <v>349.64</v>
      </c>
      <c r="E14" s="515">
        <v>0</v>
      </c>
      <c r="F14" s="506">
        <v>0</v>
      </c>
      <c r="G14" s="516"/>
      <c r="H14" s="514" t="s">
        <v>90</v>
      </c>
      <c r="I14" s="514">
        <v>0</v>
      </c>
      <c r="J14" s="514">
        <v>0</v>
      </c>
      <c r="K14" s="517">
        <v>0</v>
      </c>
    </row>
    <row r="15" spans="1:11" s="344" customFormat="1">
      <c r="A15" s="514">
        <v>11</v>
      </c>
      <c r="B15" s="514" t="s">
        <v>92</v>
      </c>
      <c r="C15" s="515">
        <v>0</v>
      </c>
      <c r="D15" s="506">
        <v>90.68</v>
      </c>
      <c r="E15" s="515">
        <v>0</v>
      </c>
      <c r="F15" s="506">
        <v>0</v>
      </c>
      <c r="G15" s="516"/>
      <c r="H15" s="514" t="s">
        <v>92</v>
      </c>
      <c r="I15" s="514">
        <v>0</v>
      </c>
      <c r="J15" s="514">
        <v>0</v>
      </c>
      <c r="K15" s="517">
        <v>0</v>
      </c>
    </row>
    <row r="16" spans="1:11" s="344" customFormat="1">
      <c r="A16" s="514">
        <v>12</v>
      </c>
      <c r="B16" s="514" t="s">
        <v>51</v>
      </c>
      <c r="C16" s="515">
        <v>0</v>
      </c>
      <c r="D16" s="506">
        <v>12.68</v>
      </c>
      <c r="E16" s="515">
        <v>0</v>
      </c>
      <c r="F16" s="506">
        <v>0</v>
      </c>
      <c r="G16" s="516"/>
      <c r="H16" s="514" t="s">
        <v>51</v>
      </c>
      <c r="I16" s="514">
        <v>0</v>
      </c>
      <c r="J16" s="514">
        <v>0</v>
      </c>
      <c r="K16" s="517">
        <v>0</v>
      </c>
    </row>
    <row r="17" spans="1:11" s="344" customFormat="1">
      <c r="A17" s="514">
        <v>13</v>
      </c>
      <c r="B17" s="514" t="s">
        <v>52</v>
      </c>
      <c r="C17" s="515">
        <v>0</v>
      </c>
      <c r="D17" s="506">
        <v>12.26</v>
      </c>
      <c r="E17" s="515">
        <v>0</v>
      </c>
      <c r="F17" s="506">
        <v>0</v>
      </c>
      <c r="G17" s="516"/>
      <c r="H17" s="514" t="s">
        <v>52</v>
      </c>
      <c r="I17" s="514">
        <v>0</v>
      </c>
      <c r="J17" s="514">
        <v>0</v>
      </c>
      <c r="K17" s="517">
        <v>0</v>
      </c>
    </row>
    <row r="18" spans="1:11" s="344" customFormat="1">
      <c r="A18" s="514">
        <v>14</v>
      </c>
      <c r="B18" s="514" t="s">
        <v>28</v>
      </c>
      <c r="C18" s="515">
        <v>0</v>
      </c>
      <c r="D18" s="506">
        <v>589</v>
      </c>
      <c r="E18" s="515">
        <v>1</v>
      </c>
      <c r="F18" s="506">
        <v>1.45</v>
      </c>
      <c r="G18" s="516"/>
      <c r="H18" s="514" t="s">
        <v>28</v>
      </c>
      <c r="I18" s="514">
        <v>0</v>
      </c>
      <c r="J18" s="514">
        <v>0</v>
      </c>
      <c r="K18" s="517">
        <v>0</v>
      </c>
    </row>
    <row r="19" spans="1:11" s="344" customFormat="1">
      <c r="A19" s="465">
        <v>15</v>
      </c>
      <c r="B19" s="465" t="s">
        <v>10</v>
      </c>
      <c r="C19" s="465">
        <v>0</v>
      </c>
      <c r="D19" s="354">
        <v>2377</v>
      </c>
      <c r="E19" s="465">
        <v>0</v>
      </c>
      <c r="F19" s="354">
        <v>0</v>
      </c>
      <c r="G19" s="685"/>
      <c r="H19" s="465" t="s">
        <v>10</v>
      </c>
      <c r="I19" s="465">
        <v>0</v>
      </c>
      <c r="J19" s="465">
        <v>0</v>
      </c>
      <c r="K19" s="354">
        <v>0</v>
      </c>
    </row>
    <row r="20" spans="1:11" s="344" customFormat="1">
      <c r="A20" s="514">
        <v>16</v>
      </c>
      <c r="B20" s="514" t="s">
        <v>98</v>
      </c>
      <c r="C20" s="515">
        <v>0</v>
      </c>
      <c r="D20" s="506">
        <v>185.35</v>
      </c>
      <c r="E20" s="515">
        <v>0</v>
      </c>
      <c r="F20" s="506">
        <v>0</v>
      </c>
      <c r="G20" s="516"/>
      <c r="H20" s="514" t="s">
        <v>98</v>
      </c>
      <c r="I20" s="514">
        <v>0</v>
      </c>
      <c r="J20" s="514">
        <v>0</v>
      </c>
      <c r="K20" s="517">
        <v>0</v>
      </c>
    </row>
    <row r="21" spans="1:11" s="344" customFormat="1">
      <c r="A21" s="514">
        <v>17</v>
      </c>
      <c r="B21" s="514" t="s">
        <v>35</v>
      </c>
      <c r="C21" s="514">
        <v>0</v>
      </c>
      <c r="D21" s="517">
        <v>323.22000000000003</v>
      </c>
      <c r="E21" s="514">
        <v>0</v>
      </c>
      <c r="F21" s="517">
        <v>0</v>
      </c>
      <c r="G21" s="516"/>
      <c r="H21" s="514" t="s">
        <v>35</v>
      </c>
      <c r="I21" s="514">
        <v>0</v>
      </c>
      <c r="J21" s="514">
        <v>0</v>
      </c>
      <c r="K21" s="517">
        <v>0</v>
      </c>
    </row>
    <row r="22" spans="1:11" s="344" customFormat="1">
      <c r="A22" s="514">
        <v>18</v>
      </c>
      <c r="B22" s="514" t="s">
        <v>54</v>
      </c>
      <c r="C22" s="515">
        <v>0</v>
      </c>
      <c r="D22" s="506">
        <v>3888</v>
      </c>
      <c r="E22" s="515">
        <v>0</v>
      </c>
      <c r="F22" s="506">
        <v>0</v>
      </c>
      <c r="G22" s="516"/>
      <c r="H22" s="514" t="s">
        <v>54</v>
      </c>
      <c r="I22" s="514">
        <v>0</v>
      </c>
      <c r="J22" s="514">
        <v>0</v>
      </c>
      <c r="K22" s="517">
        <v>0</v>
      </c>
    </row>
    <row r="23" spans="1:11" s="344" customFormat="1">
      <c r="A23" s="514">
        <v>19</v>
      </c>
      <c r="B23" s="514" t="s">
        <v>102</v>
      </c>
      <c r="C23" s="515">
        <v>0</v>
      </c>
      <c r="D23" s="506">
        <v>29.03</v>
      </c>
      <c r="E23" s="515">
        <v>0</v>
      </c>
      <c r="F23" s="506">
        <v>0</v>
      </c>
      <c r="G23" s="516"/>
      <c r="H23" s="514" t="s">
        <v>102</v>
      </c>
      <c r="I23" s="514">
        <v>0</v>
      </c>
      <c r="J23" s="514">
        <v>0</v>
      </c>
      <c r="K23" s="517">
        <v>0</v>
      </c>
    </row>
    <row r="24" spans="1:11">
      <c r="A24" s="514">
        <v>20</v>
      </c>
      <c r="B24" s="514" t="s">
        <v>104</v>
      </c>
      <c r="C24" s="515">
        <v>0</v>
      </c>
      <c r="D24" s="506">
        <v>705.05</v>
      </c>
      <c r="E24" s="515">
        <v>11</v>
      </c>
      <c r="F24" s="506">
        <v>7.12</v>
      </c>
      <c r="G24" s="516"/>
      <c r="H24" s="514" t="s">
        <v>104</v>
      </c>
      <c r="I24" s="514">
        <v>0</v>
      </c>
      <c r="J24" s="514">
        <v>0</v>
      </c>
      <c r="K24" s="517">
        <v>0</v>
      </c>
    </row>
    <row r="25" spans="1:11" s="344" customFormat="1">
      <c r="A25" s="514">
        <v>21</v>
      </c>
      <c r="B25" s="514" t="s">
        <v>106</v>
      </c>
      <c r="C25" s="515">
        <v>0</v>
      </c>
      <c r="D25" s="992">
        <v>0</v>
      </c>
      <c r="E25" s="515">
        <v>0</v>
      </c>
      <c r="F25" s="506">
        <v>0</v>
      </c>
      <c r="G25" s="516"/>
      <c r="H25" s="514" t="s">
        <v>106</v>
      </c>
      <c r="I25" s="514">
        <v>0</v>
      </c>
      <c r="J25" s="514">
        <v>0</v>
      </c>
      <c r="K25" s="517">
        <v>0</v>
      </c>
    </row>
    <row r="26" spans="1:11" s="344" customFormat="1">
      <c r="A26" s="514">
        <v>22</v>
      </c>
      <c r="B26" s="514" t="s">
        <v>108</v>
      </c>
      <c r="C26" s="725">
        <v>0</v>
      </c>
      <c r="D26" s="517">
        <v>0</v>
      </c>
      <c r="E26" s="725">
        <v>0</v>
      </c>
      <c r="F26" s="726">
        <v>0</v>
      </c>
      <c r="G26" s="516"/>
      <c r="H26" s="514" t="s">
        <v>108</v>
      </c>
      <c r="I26" s="514">
        <v>0</v>
      </c>
      <c r="J26" s="514">
        <v>0</v>
      </c>
      <c r="K26" s="517">
        <v>0</v>
      </c>
    </row>
    <row r="27" spans="1:11">
      <c r="A27" s="988" t="s">
        <v>113</v>
      </c>
      <c r="B27" s="988" t="s">
        <v>13</v>
      </c>
      <c r="C27" s="988">
        <f>SUM(C5:C26)</f>
        <v>0</v>
      </c>
      <c r="D27" s="989">
        <f>SUM(D5:D26)</f>
        <v>12591.17</v>
      </c>
      <c r="E27" s="988">
        <f>SUM(E5:E26)</f>
        <v>12</v>
      </c>
      <c r="F27" s="989">
        <f>SUM(F5:F26)</f>
        <v>8.57</v>
      </c>
      <c r="G27" s="990"/>
      <c r="H27" s="988" t="s">
        <v>13</v>
      </c>
      <c r="I27" s="988">
        <f>SUM(I5:I26)</f>
        <v>0</v>
      </c>
      <c r="J27" s="988">
        <f>SUM(J5:J26)</f>
        <v>0</v>
      </c>
      <c r="K27" s="989">
        <f>SUM(K5:K26)</f>
        <v>0</v>
      </c>
    </row>
    <row r="28" spans="1:11" s="344" customFormat="1">
      <c r="A28" s="514">
        <v>1</v>
      </c>
      <c r="B28" s="514" t="s">
        <v>16</v>
      </c>
      <c r="C28" s="514">
        <v>0</v>
      </c>
      <c r="D28" s="517">
        <v>0</v>
      </c>
      <c r="E28" s="514">
        <v>0</v>
      </c>
      <c r="F28" s="517">
        <v>0</v>
      </c>
      <c r="G28" s="516"/>
      <c r="H28" s="514" t="s">
        <v>16</v>
      </c>
      <c r="I28" s="514">
        <v>0</v>
      </c>
      <c r="J28" s="514">
        <v>0</v>
      </c>
      <c r="K28" s="517">
        <v>0</v>
      </c>
    </row>
    <row r="29" spans="1:11">
      <c r="A29" s="514">
        <v>1</v>
      </c>
      <c r="B29" s="514" t="s">
        <v>110</v>
      </c>
      <c r="C29" s="514">
        <v>0</v>
      </c>
      <c r="D29" s="517">
        <v>0</v>
      </c>
      <c r="E29" s="514">
        <v>0</v>
      </c>
      <c r="F29" s="517">
        <v>0</v>
      </c>
      <c r="G29" s="516"/>
      <c r="H29" s="514" t="s">
        <v>110</v>
      </c>
      <c r="I29" s="514">
        <v>0</v>
      </c>
      <c r="J29" s="514">
        <v>0</v>
      </c>
      <c r="K29" s="517">
        <v>0</v>
      </c>
    </row>
    <row r="30" spans="1:11">
      <c r="A30" s="988" t="s">
        <v>135</v>
      </c>
      <c r="B30" s="988" t="s">
        <v>13</v>
      </c>
      <c r="C30" s="988">
        <f>SUM(C27:C29)</f>
        <v>0</v>
      </c>
      <c r="D30" s="989">
        <f>SUM(D27:D29)</f>
        <v>12591.17</v>
      </c>
      <c r="E30" s="988">
        <f>SUM(E27:E29)</f>
        <v>12</v>
      </c>
      <c r="F30" s="989">
        <f>SUM(F27:F29)</f>
        <v>8.57</v>
      </c>
      <c r="G30" s="990"/>
      <c r="H30" s="988" t="s">
        <v>63</v>
      </c>
      <c r="I30" s="991">
        <f>SUM(I27:I29)</f>
        <v>0</v>
      </c>
      <c r="J30" s="991">
        <f>SUM(J27:J29)</f>
        <v>0</v>
      </c>
      <c r="K30" s="989">
        <f>SUM(K27:K29)</f>
        <v>0</v>
      </c>
    </row>
    <row r="31" spans="1:11">
      <c r="A31" s="1710" t="s">
        <v>136</v>
      </c>
      <c r="B31" s="1711"/>
      <c r="C31" s="993">
        <v>5</v>
      </c>
      <c r="D31" s="994">
        <v>21764.860000000004</v>
      </c>
      <c r="E31" s="514">
        <v>0</v>
      </c>
      <c r="F31" s="517">
        <v>1.4</v>
      </c>
      <c r="G31" s="301"/>
      <c r="H31" s="1612"/>
      <c r="I31" s="1613"/>
      <c r="J31" s="290"/>
      <c r="K31" s="302"/>
    </row>
  </sheetData>
  <mergeCells count="7">
    <mergeCell ref="A31:B31"/>
    <mergeCell ref="H31:I31"/>
    <mergeCell ref="A1:K1"/>
    <mergeCell ref="A2:F2"/>
    <mergeCell ref="H2:K2"/>
    <mergeCell ref="E3:H3"/>
    <mergeCell ref="J3:K3"/>
  </mergeCells>
  <pageMargins left="0.7" right="0.7" top="0.75" bottom="0.75" header="0.3" footer="0.3"/>
  <pageSetup scale="95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sqref="A1:J1"/>
    </sheetView>
  </sheetViews>
  <sheetFormatPr defaultRowHeight="15"/>
  <sheetData>
    <row r="1" spans="1:10" ht="15.75">
      <c r="A1" s="1482">
        <v>83</v>
      </c>
      <c r="B1" s="1482"/>
      <c r="C1" s="1482"/>
      <c r="D1" s="1482"/>
      <c r="E1" s="1482"/>
      <c r="F1" s="1482"/>
      <c r="G1" s="1482"/>
      <c r="H1" s="1482"/>
      <c r="I1" s="1482"/>
      <c r="J1" s="1482"/>
    </row>
    <row r="2" spans="1:10" ht="18">
      <c r="A2" s="1562" t="s">
        <v>378</v>
      </c>
      <c r="B2" s="1562"/>
      <c r="C2" s="1562"/>
      <c r="D2" s="1562"/>
      <c r="E2" s="1562"/>
      <c r="F2" s="1562"/>
      <c r="G2" s="1562"/>
      <c r="H2" s="1562"/>
      <c r="I2" s="1562"/>
      <c r="J2" s="1562"/>
    </row>
    <row r="3" spans="1:10" ht="18">
      <c r="A3" s="1615" t="s">
        <v>571</v>
      </c>
      <c r="B3" s="1615"/>
      <c r="C3" s="1615"/>
      <c r="D3" s="1615"/>
      <c r="E3" s="1615"/>
      <c r="F3" s="1615"/>
      <c r="G3" s="1615"/>
      <c r="H3" s="1615"/>
      <c r="I3" s="1615"/>
      <c r="J3" s="1615"/>
    </row>
    <row r="4" spans="1:10" ht="77.25">
      <c r="A4" s="288" t="s">
        <v>130</v>
      </c>
      <c r="B4" s="288" t="s">
        <v>131</v>
      </c>
      <c r="C4" s="289" t="s">
        <v>379</v>
      </c>
      <c r="D4" s="289" t="s">
        <v>380</v>
      </c>
      <c r="E4" s="289" t="s">
        <v>381</v>
      </c>
      <c r="F4" s="289" t="s">
        <v>382</v>
      </c>
      <c r="G4" s="289" t="s">
        <v>383</v>
      </c>
      <c r="H4" s="289" t="s">
        <v>384</v>
      </c>
      <c r="I4" s="289" t="s">
        <v>385</v>
      </c>
      <c r="J4" s="289" t="s">
        <v>386</v>
      </c>
    </row>
    <row r="5" spans="1:10" s="344" customFormat="1">
      <c r="A5" s="465">
        <v>1</v>
      </c>
      <c r="B5" s="499" t="s">
        <v>78</v>
      </c>
      <c r="C5" s="500">
        <v>0</v>
      </c>
      <c r="D5" s="501">
        <v>0</v>
      </c>
      <c r="E5" s="500">
        <v>0</v>
      </c>
      <c r="F5" s="501">
        <v>0</v>
      </c>
      <c r="G5" s="500">
        <v>0</v>
      </c>
      <c r="H5" s="501">
        <v>0</v>
      </c>
      <c r="I5" s="500">
        <f t="shared" ref="I5:J25" si="0">C5+E5-G5</f>
        <v>0</v>
      </c>
      <c r="J5" s="501">
        <f t="shared" si="0"/>
        <v>0</v>
      </c>
    </row>
    <row r="6" spans="1:10">
      <c r="A6" s="465">
        <v>2</v>
      </c>
      <c r="B6" s="499" t="s">
        <v>27</v>
      </c>
      <c r="C6" s="500">
        <v>0</v>
      </c>
      <c r="D6" s="501">
        <v>0</v>
      </c>
      <c r="E6" s="500">
        <v>0</v>
      </c>
      <c r="F6" s="501">
        <v>0</v>
      </c>
      <c r="G6" s="500">
        <v>0</v>
      </c>
      <c r="H6" s="501">
        <v>0</v>
      </c>
      <c r="I6" s="500">
        <f t="shared" si="0"/>
        <v>0</v>
      </c>
      <c r="J6" s="501">
        <f t="shared" si="0"/>
        <v>0</v>
      </c>
    </row>
    <row r="7" spans="1:10" s="344" customFormat="1">
      <c r="A7" s="465">
        <v>3</v>
      </c>
      <c r="B7" s="499" t="s">
        <v>46</v>
      </c>
      <c r="C7" s="500">
        <v>0</v>
      </c>
      <c r="D7" s="501">
        <v>0</v>
      </c>
      <c r="E7" s="500">
        <v>0</v>
      </c>
      <c r="F7" s="501">
        <v>0</v>
      </c>
      <c r="G7" s="500">
        <v>0</v>
      </c>
      <c r="H7" s="501">
        <v>0</v>
      </c>
      <c r="I7" s="500">
        <f t="shared" si="0"/>
        <v>0</v>
      </c>
      <c r="J7" s="501">
        <f t="shared" si="0"/>
        <v>0</v>
      </c>
    </row>
    <row r="8" spans="1:10" s="344" customFormat="1">
      <c r="A8" s="465">
        <v>4</v>
      </c>
      <c r="B8" s="499" t="s">
        <v>32</v>
      </c>
      <c r="C8" s="500">
        <v>0</v>
      </c>
      <c r="D8" s="501">
        <v>0</v>
      </c>
      <c r="E8" s="500">
        <v>0</v>
      </c>
      <c r="F8" s="501">
        <v>0</v>
      </c>
      <c r="G8" s="500">
        <v>0</v>
      </c>
      <c r="H8" s="501">
        <v>0</v>
      </c>
      <c r="I8" s="500">
        <f t="shared" si="0"/>
        <v>0</v>
      </c>
      <c r="J8" s="501">
        <f t="shared" si="0"/>
        <v>0</v>
      </c>
    </row>
    <row r="9" spans="1:10" s="344" customFormat="1">
      <c r="A9" s="465">
        <v>5</v>
      </c>
      <c r="B9" s="499" t="s">
        <v>83</v>
      </c>
      <c r="C9" s="500">
        <v>0</v>
      </c>
      <c r="D9" s="501">
        <v>0</v>
      </c>
      <c r="E9" s="500">
        <v>0</v>
      </c>
      <c r="F9" s="501">
        <v>0</v>
      </c>
      <c r="G9" s="500">
        <v>0</v>
      </c>
      <c r="H9" s="501">
        <v>0</v>
      </c>
      <c r="I9" s="500">
        <f t="shared" si="0"/>
        <v>0</v>
      </c>
      <c r="J9" s="501">
        <f t="shared" si="0"/>
        <v>0</v>
      </c>
    </row>
    <row r="10" spans="1:10">
      <c r="A10" s="465">
        <v>6</v>
      </c>
      <c r="B10" s="499" t="s">
        <v>85</v>
      </c>
      <c r="C10" s="500">
        <v>1</v>
      </c>
      <c r="D10" s="501">
        <v>3.19</v>
      </c>
      <c r="E10" s="500">
        <v>0</v>
      </c>
      <c r="F10" s="501">
        <v>0</v>
      </c>
      <c r="G10" s="500">
        <v>0</v>
      </c>
      <c r="H10" s="501">
        <v>0</v>
      </c>
      <c r="I10" s="500">
        <f t="shared" si="0"/>
        <v>1</v>
      </c>
      <c r="J10" s="501">
        <f t="shared" si="0"/>
        <v>3.19</v>
      </c>
    </row>
    <row r="11" spans="1:10">
      <c r="A11" s="465">
        <v>7</v>
      </c>
      <c r="B11" s="499" t="s">
        <v>17</v>
      </c>
      <c r="C11" s="500">
        <v>11</v>
      </c>
      <c r="D11" s="501">
        <v>17.16</v>
      </c>
      <c r="E11" s="500">
        <v>0</v>
      </c>
      <c r="F11" s="501">
        <v>0</v>
      </c>
      <c r="G11" s="500">
        <v>0</v>
      </c>
      <c r="H11" s="501">
        <v>0</v>
      </c>
      <c r="I11" s="500">
        <f t="shared" si="0"/>
        <v>11</v>
      </c>
      <c r="J11" s="501">
        <f t="shared" si="0"/>
        <v>17.16</v>
      </c>
    </row>
    <row r="12" spans="1:10" s="344" customFormat="1">
      <c r="A12" s="465">
        <v>8</v>
      </c>
      <c r="B12" s="539" t="s">
        <v>26</v>
      </c>
      <c r="C12" s="540">
        <v>0</v>
      </c>
      <c r="D12" s="541">
        <v>0</v>
      </c>
      <c r="E12" s="540">
        <v>0</v>
      </c>
      <c r="F12" s="541">
        <v>0</v>
      </c>
      <c r="G12" s="540">
        <v>0</v>
      </c>
      <c r="H12" s="541">
        <v>0</v>
      </c>
      <c r="I12" s="540">
        <f t="shared" si="0"/>
        <v>0</v>
      </c>
      <c r="J12" s="541">
        <f t="shared" si="0"/>
        <v>0</v>
      </c>
    </row>
    <row r="13" spans="1:10" s="344" customFormat="1">
      <c r="A13" s="465">
        <v>9</v>
      </c>
      <c r="B13" s="499" t="s">
        <v>11</v>
      </c>
      <c r="C13" s="500">
        <v>0</v>
      </c>
      <c r="D13" s="501">
        <v>0</v>
      </c>
      <c r="E13" s="500">
        <v>0</v>
      </c>
      <c r="F13" s="501">
        <v>0</v>
      </c>
      <c r="G13" s="500">
        <v>0</v>
      </c>
      <c r="H13" s="501">
        <v>0</v>
      </c>
      <c r="I13" s="500">
        <f t="shared" si="0"/>
        <v>0</v>
      </c>
      <c r="J13" s="501">
        <f t="shared" si="0"/>
        <v>0</v>
      </c>
    </row>
    <row r="14" spans="1:10" s="344" customFormat="1">
      <c r="A14" s="465">
        <v>10</v>
      </c>
      <c r="B14" s="499" t="s">
        <v>90</v>
      </c>
      <c r="C14" s="500">
        <v>0</v>
      </c>
      <c r="D14" s="501">
        <v>0</v>
      </c>
      <c r="E14" s="500">
        <v>0</v>
      </c>
      <c r="F14" s="501">
        <v>0</v>
      </c>
      <c r="G14" s="500">
        <v>0</v>
      </c>
      <c r="H14" s="501">
        <v>0</v>
      </c>
      <c r="I14" s="500">
        <f t="shared" si="0"/>
        <v>0</v>
      </c>
      <c r="J14" s="501">
        <f t="shared" si="0"/>
        <v>0</v>
      </c>
    </row>
    <row r="15" spans="1:10" s="344" customFormat="1">
      <c r="A15" s="465">
        <v>11</v>
      </c>
      <c r="B15" s="499" t="s">
        <v>284</v>
      </c>
      <c r="C15" s="500">
        <v>0</v>
      </c>
      <c r="D15" s="501">
        <v>0</v>
      </c>
      <c r="E15" s="500">
        <v>0</v>
      </c>
      <c r="F15" s="501">
        <v>0</v>
      </c>
      <c r="G15" s="500">
        <v>0</v>
      </c>
      <c r="H15" s="501">
        <v>0</v>
      </c>
      <c r="I15" s="500">
        <f t="shared" si="0"/>
        <v>0</v>
      </c>
      <c r="J15" s="501">
        <f t="shared" si="0"/>
        <v>0</v>
      </c>
    </row>
    <row r="16" spans="1:10" s="344" customFormat="1">
      <c r="A16" s="465">
        <v>12</v>
      </c>
      <c r="B16" s="499" t="s">
        <v>51</v>
      </c>
      <c r="C16" s="500">
        <v>1</v>
      </c>
      <c r="D16" s="501">
        <v>1.93</v>
      </c>
      <c r="E16" s="500">
        <v>1</v>
      </c>
      <c r="F16" s="501">
        <v>2.98</v>
      </c>
      <c r="G16" s="500">
        <v>0</v>
      </c>
      <c r="H16" s="501">
        <v>0</v>
      </c>
      <c r="I16" s="500">
        <f t="shared" si="0"/>
        <v>2</v>
      </c>
      <c r="J16" s="501">
        <f t="shared" si="0"/>
        <v>4.91</v>
      </c>
    </row>
    <row r="17" spans="1:10" s="344" customFormat="1">
      <c r="A17" s="465">
        <v>13</v>
      </c>
      <c r="B17" s="499" t="s">
        <v>52</v>
      </c>
      <c r="C17" s="500">
        <v>0</v>
      </c>
      <c r="D17" s="501">
        <v>0</v>
      </c>
      <c r="E17" s="500">
        <v>0</v>
      </c>
      <c r="F17" s="501">
        <v>0</v>
      </c>
      <c r="G17" s="500">
        <v>0</v>
      </c>
      <c r="H17" s="501">
        <v>0</v>
      </c>
      <c r="I17" s="500">
        <f t="shared" si="0"/>
        <v>0</v>
      </c>
      <c r="J17" s="501">
        <f t="shared" si="0"/>
        <v>0</v>
      </c>
    </row>
    <row r="18" spans="1:10" s="344" customFormat="1">
      <c r="A18" s="465">
        <v>14</v>
      </c>
      <c r="B18" s="499" t="s">
        <v>28</v>
      </c>
      <c r="C18" s="500">
        <v>0</v>
      </c>
      <c r="D18" s="501">
        <v>0</v>
      </c>
      <c r="E18" s="500">
        <v>0</v>
      </c>
      <c r="F18" s="501">
        <v>0</v>
      </c>
      <c r="G18" s="500">
        <v>0</v>
      </c>
      <c r="H18" s="501">
        <v>0</v>
      </c>
      <c r="I18" s="500">
        <f t="shared" si="0"/>
        <v>0</v>
      </c>
      <c r="J18" s="501">
        <f t="shared" si="0"/>
        <v>0</v>
      </c>
    </row>
    <row r="19" spans="1:10">
      <c r="A19" s="465">
        <v>15</v>
      </c>
      <c r="B19" s="539" t="s">
        <v>10</v>
      </c>
      <c r="C19" s="540">
        <v>5444</v>
      </c>
      <c r="D19" s="541">
        <v>4047.82</v>
      </c>
      <c r="E19" s="540">
        <v>85</v>
      </c>
      <c r="F19" s="541">
        <v>93.44</v>
      </c>
      <c r="G19" s="540">
        <v>6</v>
      </c>
      <c r="H19" s="541">
        <v>0.45</v>
      </c>
      <c r="I19" s="540">
        <v>5523</v>
      </c>
      <c r="J19" s="541">
        <f t="shared" si="0"/>
        <v>4140.8100000000004</v>
      </c>
    </row>
    <row r="20" spans="1:10" s="344" customFormat="1">
      <c r="A20" s="465">
        <v>16</v>
      </c>
      <c r="B20" s="499" t="s">
        <v>53</v>
      </c>
      <c r="C20" s="500">
        <v>0</v>
      </c>
      <c r="D20" s="501">
        <v>0</v>
      </c>
      <c r="E20" s="500">
        <v>0</v>
      </c>
      <c r="F20" s="501">
        <v>0</v>
      </c>
      <c r="G20" s="500">
        <v>0</v>
      </c>
      <c r="H20" s="501">
        <v>0</v>
      </c>
      <c r="I20" s="500">
        <f t="shared" si="0"/>
        <v>0</v>
      </c>
      <c r="J20" s="501">
        <f t="shared" si="0"/>
        <v>0</v>
      </c>
    </row>
    <row r="21" spans="1:10" s="344" customFormat="1">
      <c r="A21" s="465">
        <v>17</v>
      </c>
      <c r="B21" s="499" t="s">
        <v>35</v>
      </c>
      <c r="C21" s="500">
        <v>0</v>
      </c>
      <c r="D21" s="501">
        <v>0</v>
      </c>
      <c r="E21" s="500">
        <v>0</v>
      </c>
      <c r="F21" s="501">
        <v>0</v>
      </c>
      <c r="G21" s="500">
        <v>0</v>
      </c>
      <c r="H21" s="501">
        <v>0</v>
      </c>
      <c r="I21" s="500">
        <f t="shared" si="0"/>
        <v>0</v>
      </c>
      <c r="J21" s="501">
        <f t="shared" si="0"/>
        <v>0</v>
      </c>
    </row>
    <row r="22" spans="1:10" s="344" customFormat="1">
      <c r="A22" s="514">
        <v>18</v>
      </c>
      <c r="B22" s="499" t="s">
        <v>54</v>
      </c>
      <c r="C22" s="500">
        <v>48</v>
      </c>
      <c r="D22" s="501">
        <v>62</v>
      </c>
      <c r="E22" s="500">
        <v>0</v>
      </c>
      <c r="F22" s="501">
        <v>0</v>
      </c>
      <c r="G22" s="500">
        <v>0</v>
      </c>
      <c r="H22" s="501">
        <v>0</v>
      </c>
      <c r="I22" s="500">
        <f t="shared" si="0"/>
        <v>48</v>
      </c>
      <c r="J22" s="501">
        <f t="shared" si="0"/>
        <v>62</v>
      </c>
    </row>
    <row r="23" spans="1:10" s="344" customFormat="1">
      <c r="A23" s="465">
        <v>19</v>
      </c>
      <c r="B23" s="499" t="s">
        <v>285</v>
      </c>
      <c r="C23" s="500">
        <v>0</v>
      </c>
      <c r="D23" s="501">
        <v>0</v>
      </c>
      <c r="E23" s="500">
        <v>0</v>
      </c>
      <c r="F23" s="501">
        <v>0</v>
      </c>
      <c r="G23" s="500">
        <v>0</v>
      </c>
      <c r="H23" s="501">
        <v>0</v>
      </c>
      <c r="I23" s="500">
        <f t="shared" si="0"/>
        <v>0</v>
      </c>
      <c r="J23" s="501">
        <f t="shared" si="0"/>
        <v>0</v>
      </c>
    </row>
    <row r="24" spans="1:10">
      <c r="A24" s="465">
        <v>20</v>
      </c>
      <c r="B24" s="499" t="s">
        <v>23</v>
      </c>
      <c r="C24" s="500">
        <v>60</v>
      </c>
      <c r="D24" s="501">
        <v>94.19</v>
      </c>
      <c r="E24" s="500">
        <v>1</v>
      </c>
      <c r="F24" s="501">
        <v>5</v>
      </c>
      <c r="G24" s="500">
        <v>0</v>
      </c>
      <c r="H24" s="501">
        <v>0</v>
      </c>
      <c r="I24" s="500">
        <f t="shared" si="0"/>
        <v>61</v>
      </c>
      <c r="J24" s="501">
        <f t="shared" si="0"/>
        <v>99.19</v>
      </c>
    </row>
    <row r="25" spans="1:10" s="344" customFormat="1">
      <c r="A25" s="465">
        <v>21</v>
      </c>
      <c r="B25" s="499" t="s">
        <v>106</v>
      </c>
      <c r="C25" s="500">
        <v>0</v>
      </c>
      <c r="D25" s="501">
        <v>0</v>
      </c>
      <c r="E25" s="500">
        <v>0</v>
      </c>
      <c r="F25" s="501">
        <v>0</v>
      </c>
      <c r="G25" s="500">
        <v>0</v>
      </c>
      <c r="H25" s="501">
        <v>0</v>
      </c>
      <c r="I25" s="500">
        <f t="shared" si="0"/>
        <v>0</v>
      </c>
      <c r="J25" s="501">
        <f t="shared" si="0"/>
        <v>0</v>
      </c>
    </row>
    <row r="26" spans="1:10" s="344" customFormat="1">
      <c r="A26" s="465">
        <v>22</v>
      </c>
      <c r="B26" s="499" t="s">
        <v>108</v>
      </c>
      <c r="C26" s="500">
        <v>0</v>
      </c>
      <c r="D26" s="501">
        <v>0</v>
      </c>
      <c r="E26" s="500">
        <v>0</v>
      </c>
      <c r="F26" s="501">
        <v>0</v>
      </c>
      <c r="G26" s="500">
        <v>0</v>
      </c>
      <c r="H26" s="501">
        <v>0</v>
      </c>
      <c r="I26" s="500">
        <v>0</v>
      </c>
      <c r="J26" s="501">
        <v>0</v>
      </c>
    </row>
    <row r="27" spans="1:10">
      <c r="A27" s="865"/>
      <c r="B27" s="817" t="s">
        <v>340</v>
      </c>
      <c r="C27" s="818">
        <f t="shared" ref="C27:J27" si="1">SUM(C5:C26)</f>
        <v>5565</v>
      </c>
      <c r="D27" s="819">
        <f t="shared" si="1"/>
        <v>4226.29</v>
      </c>
      <c r="E27" s="818">
        <f t="shared" si="1"/>
        <v>87</v>
      </c>
      <c r="F27" s="819">
        <f t="shared" si="1"/>
        <v>101.42</v>
      </c>
      <c r="G27" s="818">
        <f t="shared" si="1"/>
        <v>6</v>
      </c>
      <c r="H27" s="819">
        <f t="shared" si="1"/>
        <v>0.45</v>
      </c>
      <c r="I27" s="818">
        <f t="shared" si="1"/>
        <v>5646</v>
      </c>
      <c r="J27" s="819">
        <f t="shared" si="1"/>
        <v>4327.26</v>
      </c>
    </row>
    <row r="28" spans="1:10" s="344" customFormat="1">
      <c r="A28" s="514">
        <v>1</v>
      </c>
      <c r="B28" s="499" t="s">
        <v>16</v>
      </c>
      <c r="C28" s="500">
        <v>830</v>
      </c>
      <c r="D28" s="501">
        <v>559.03</v>
      </c>
      <c r="E28" s="500">
        <v>0</v>
      </c>
      <c r="F28" s="501">
        <v>0</v>
      </c>
      <c r="G28" s="500">
        <v>0</v>
      </c>
      <c r="H28" s="501">
        <v>0</v>
      </c>
      <c r="I28" s="500">
        <f>C28+E28-G28</f>
        <v>830</v>
      </c>
      <c r="J28" s="501">
        <f>D28+F28-H28</f>
        <v>559.03</v>
      </c>
    </row>
    <row r="29" spans="1:10">
      <c r="A29" s="465">
        <v>1</v>
      </c>
      <c r="B29" s="499" t="s">
        <v>12</v>
      </c>
      <c r="C29" s="500">
        <v>608</v>
      </c>
      <c r="D29" s="501">
        <v>9237.69</v>
      </c>
      <c r="E29" s="500">
        <v>0</v>
      </c>
      <c r="F29" s="501">
        <v>0</v>
      </c>
      <c r="G29" s="500">
        <v>0</v>
      </c>
      <c r="H29" s="501">
        <v>0</v>
      </c>
      <c r="I29" s="500">
        <f>C29+E29-G29</f>
        <v>608</v>
      </c>
      <c r="J29" s="501">
        <f>D29+F29-H29</f>
        <v>9237.69</v>
      </c>
    </row>
    <row r="30" spans="1:10">
      <c r="A30" s="986"/>
      <c r="B30" s="987" t="s">
        <v>63</v>
      </c>
      <c r="C30" s="818">
        <f t="shared" ref="C30:J30" si="2">C27+C28+C29</f>
        <v>7003</v>
      </c>
      <c r="D30" s="819">
        <f t="shared" si="2"/>
        <v>14023.01</v>
      </c>
      <c r="E30" s="818">
        <f t="shared" si="2"/>
        <v>87</v>
      </c>
      <c r="F30" s="819">
        <f t="shared" si="2"/>
        <v>101.42</v>
      </c>
      <c r="G30" s="818">
        <f t="shared" si="2"/>
        <v>6</v>
      </c>
      <c r="H30" s="819">
        <f t="shared" si="2"/>
        <v>0.45</v>
      </c>
      <c r="I30" s="818">
        <f t="shared" si="2"/>
        <v>7084</v>
      </c>
      <c r="J30" s="819">
        <f t="shared" si="2"/>
        <v>14123.98</v>
      </c>
    </row>
    <row r="31" spans="1:10">
      <c r="A31" s="291"/>
      <c r="B31" s="172"/>
      <c r="C31" s="292"/>
      <c r="D31" s="293"/>
      <c r="E31" s="292"/>
      <c r="F31" s="293"/>
      <c r="G31" s="292"/>
      <c r="H31" s="293"/>
      <c r="I31" s="292"/>
      <c r="J31" s="293"/>
    </row>
    <row r="32" spans="1:10">
      <c r="A32" s="1712" t="s">
        <v>341</v>
      </c>
      <c r="B32" s="1713"/>
      <c r="C32" s="294">
        <v>7003</v>
      </c>
      <c r="D32" s="295">
        <v>14023.01</v>
      </c>
      <c r="E32" s="296">
        <v>87</v>
      </c>
      <c r="F32" s="295">
        <v>101.42</v>
      </c>
      <c r="G32" s="296">
        <v>6</v>
      </c>
      <c r="H32" s="295">
        <v>0.45</v>
      </c>
      <c r="I32" s="296">
        <v>7084</v>
      </c>
      <c r="J32" s="295">
        <v>14123.98</v>
      </c>
    </row>
  </sheetData>
  <mergeCells count="4">
    <mergeCell ref="A1:J1"/>
    <mergeCell ref="A2:J2"/>
    <mergeCell ref="A3:J3"/>
    <mergeCell ref="A32:B32"/>
  </mergeCells>
  <pageMargins left="0.7" right="0.7" top="0.75" bottom="0.75" header="0.3" footer="0.3"/>
  <pageSetup scale="95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V325"/>
  <sheetViews>
    <sheetView tabSelected="1" topLeftCell="A262" workbookViewId="0">
      <selection activeCell="T277" sqref="T277"/>
    </sheetView>
  </sheetViews>
  <sheetFormatPr defaultRowHeight="15"/>
  <sheetData>
    <row r="1" spans="1:18">
      <c r="A1" s="1643">
        <v>84</v>
      </c>
      <c r="B1" s="1643"/>
      <c r="C1" s="1643"/>
      <c r="D1" s="1643"/>
      <c r="E1" s="1643"/>
      <c r="F1" s="1643"/>
      <c r="G1" s="1643"/>
      <c r="H1" s="1643"/>
      <c r="I1" s="1643"/>
      <c r="J1" s="1643"/>
      <c r="K1" s="1643"/>
      <c r="L1" s="1643"/>
      <c r="M1" s="1643"/>
      <c r="N1" s="1643"/>
      <c r="O1" s="1643"/>
      <c r="P1" s="1643"/>
      <c r="Q1" s="1643"/>
      <c r="R1" s="1643"/>
    </row>
    <row r="2" spans="1:18">
      <c r="A2" s="439"/>
      <c r="B2" s="439"/>
      <c r="C2" s="445"/>
      <c r="D2" s="445"/>
      <c r="E2" s="440"/>
      <c r="F2" s="440"/>
      <c r="G2" s="591" t="s">
        <v>558</v>
      </c>
      <c r="H2" s="591"/>
      <c r="I2" s="592"/>
      <c r="J2" s="440"/>
      <c r="K2" s="440"/>
      <c r="L2" s="439"/>
      <c r="M2" s="591"/>
      <c r="N2" s="591"/>
      <c r="O2" s="592"/>
      <c r="P2" s="440"/>
      <c r="Q2" s="440"/>
      <c r="R2" s="439"/>
    </row>
    <row r="3" spans="1:18">
      <c r="A3" s="439"/>
      <c r="B3" s="439"/>
      <c r="C3" s="581"/>
      <c r="D3" s="440"/>
      <c r="E3" s="440"/>
      <c r="F3" s="440"/>
      <c r="G3" s="440" t="s">
        <v>559</v>
      </c>
      <c r="H3" s="440"/>
      <c r="I3" s="439"/>
      <c r="J3" s="593"/>
      <c r="K3" s="593"/>
      <c r="L3" s="594"/>
      <c r="M3" s="595"/>
      <c r="N3" s="595"/>
      <c r="O3" s="596"/>
      <c r="P3" s="440"/>
      <c r="Q3" s="440"/>
      <c r="R3" s="439"/>
    </row>
    <row r="4" spans="1:18">
      <c r="A4" s="594" t="s">
        <v>527</v>
      </c>
      <c r="B4" s="1639" t="s">
        <v>528</v>
      </c>
      <c r="C4" s="1639"/>
      <c r="D4" s="1642" t="s">
        <v>529</v>
      </c>
      <c r="E4" s="1642"/>
      <c r="F4" s="1642"/>
      <c r="G4" s="1642"/>
      <c r="H4" s="1642"/>
      <c r="I4" s="1642"/>
      <c r="J4" s="1642"/>
      <c r="K4" s="1642"/>
      <c r="L4" s="1642"/>
      <c r="M4" s="1642"/>
      <c r="N4" s="440"/>
      <c r="O4" s="439"/>
      <c r="P4" s="440"/>
      <c r="Q4" s="1619" t="s">
        <v>315</v>
      </c>
      <c r="R4" s="1619"/>
    </row>
    <row r="5" spans="1:18">
      <c r="A5" s="1621" t="s">
        <v>500</v>
      </c>
      <c r="B5" s="1622" t="s">
        <v>501</v>
      </c>
      <c r="C5" s="1622" t="s">
        <v>484</v>
      </c>
      <c r="D5" s="1622"/>
      <c r="E5" s="1622" t="s">
        <v>485</v>
      </c>
      <c r="F5" s="1622"/>
      <c r="G5" s="1625" t="s">
        <v>486</v>
      </c>
      <c r="H5" s="1625"/>
      <c r="I5" s="1625"/>
      <c r="J5" s="1625" t="s">
        <v>487</v>
      </c>
      <c r="K5" s="1625"/>
      <c r="L5" s="1625"/>
      <c r="M5" s="1625" t="s">
        <v>488</v>
      </c>
      <c r="N5" s="1625"/>
      <c r="O5" s="1625"/>
      <c r="P5" s="1625" t="s">
        <v>489</v>
      </c>
      <c r="Q5" s="1625"/>
      <c r="R5" s="1625"/>
    </row>
    <row r="6" spans="1:18">
      <c r="A6" s="1621"/>
      <c r="B6" s="1622"/>
      <c r="C6" s="597" t="s">
        <v>530</v>
      </c>
      <c r="D6" s="441" t="s">
        <v>531</v>
      </c>
      <c r="E6" s="441" t="s">
        <v>490</v>
      </c>
      <c r="F6" s="441" t="s">
        <v>531</v>
      </c>
      <c r="G6" s="441" t="s">
        <v>490</v>
      </c>
      <c r="H6" s="441" t="s">
        <v>531</v>
      </c>
      <c r="I6" s="598" t="s">
        <v>532</v>
      </c>
      <c r="J6" s="441" t="s">
        <v>490</v>
      </c>
      <c r="K6" s="441" t="s">
        <v>531</v>
      </c>
      <c r="L6" s="598" t="s">
        <v>532</v>
      </c>
      <c r="M6" s="441" t="s">
        <v>490</v>
      </c>
      <c r="N6" s="441" t="s">
        <v>531</v>
      </c>
      <c r="O6" s="598" t="s">
        <v>532</v>
      </c>
      <c r="P6" s="441" t="s">
        <v>490</v>
      </c>
      <c r="Q6" s="441" t="s">
        <v>531</v>
      </c>
      <c r="R6" s="598" t="s">
        <v>532</v>
      </c>
    </row>
    <row r="7" spans="1:18">
      <c r="A7" s="560" t="s">
        <v>10</v>
      </c>
      <c r="B7" s="560">
        <v>4</v>
      </c>
      <c r="C7" s="561">
        <v>142.44999999999999</v>
      </c>
      <c r="D7" s="561">
        <v>9.91</v>
      </c>
      <c r="E7" s="562">
        <v>122.98</v>
      </c>
      <c r="F7" s="562">
        <v>0</v>
      </c>
      <c r="G7" s="562">
        <f>C7+E7</f>
        <v>265.43</v>
      </c>
      <c r="H7" s="590">
        <f>F7+D7</f>
        <v>9.91</v>
      </c>
      <c r="I7" s="562">
        <f>H7/G7%</f>
        <v>3.7335644049278529</v>
      </c>
      <c r="J7" s="562">
        <v>117.7</v>
      </c>
      <c r="K7" s="590">
        <v>0</v>
      </c>
      <c r="L7" s="562">
        <f>K7/J7%</f>
        <v>0</v>
      </c>
      <c r="M7" s="562">
        <v>748.22</v>
      </c>
      <c r="N7" s="590">
        <v>21.78</v>
      </c>
      <c r="O7" s="562">
        <f>N7/M7%</f>
        <v>2.9109085563069685</v>
      </c>
      <c r="P7" s="562">
        <f>G7+J7+M7</f>
        <v>1131.3499999999999</v>
      </c>
      <c r="Q7" s="562">
        <f>N7+K7+H7</f>
        <v>31.69</v>
      </c>
      <c r="R7" s="562">
        <f>Q7/P7%</f>
        <v>2.8010783577142355</v>
      </c>
    </row>
    <row r="8" spans="1:18">
      <c r="A8" s="442" t="s">
        <v>17</v>
      </c>
      <c r="B8" s="442">
        <v>1</v>
      </c>
      <c r="C8" s="561">
        <v>50.6</v>
      </c>
      <c r="D8" s="561">
        <v>14.22</v>
      </c>
      <c r="E8" s="562">
        <v>53.35</v>
      </c>
      <c r="F8" s="562">
        <v>0</v>
      </c>
      <c r="G8" s="562">
        <f t="shared" ref="G8:G13" si="0">C8+E8</f>
        <v>103.95</v>
      </c>
      <c r="H8" s="590">
        <f t="shared" ref="H8:H13" si="1">F8+D8</f>
        <v>14.22</v>
      </c>
      <c r="I8" s="562">
        <f t="shared" ref="I8:I13" si="2">H8/G8%</f>
        <v>13.679653679653679</v>
      </c>
      <c r="J8" s="562">
        <v>22.48</v>
      </c>
      <c r="K8" s="562">
        <v>0</v>
      </c>
      <c r="L8" s="562">
        <f t="shared" ref="L8:L13" si="3">K8/J8%</f>
        <v>0</v>
      </c>
      <c r="M8" s="562">
        <v>219.07</v>
      </c>
      <c r="N8" s="562">
        <v>25.49</v>
      </c>
      <c r="O8" s="562">
        <f t="shared" ref="O8:O13" si="4">N8/M8%</f>
        <v>11.635550280732184</v>
      </c>
      <c r="P8" s="562">
        <f t="shared" ref="P8:P13" si="5">G8+J8+M8</f>
        <v>345.5</v>
      </c>
      <c r="Q8" s="562">
        <f t="shared" ref="Q8:Q13" si="6">N8+K8+H8</f>
        <v>39.71</v>
      </c>
      <c r="R8" s="562">
        <f>Q8/P8%</f>
        <v>11.493487698986975</v>
      </c>
    </row>
    <row r="9" spans="1:18">
      <c r="A9" s="442" t="s">
        <v>19</v>
      </c>
      <c r="B9" s="442">
        <v>1</v>
      </c>
      <c r="C9" s="561">
        <v>55</v>
      </c>
      <c r="D9" s="561">
        <v>3</v>
      </c>
      <c r="E9" s="562">
        <v>10.01</v>
      </c>
      <c r="F9" s="562">
        <v>0</v>
      </c>
      <c r="G9" s="562">
        <f t="shared" si="0"/>
        <v>65.010000000000005</v>
      </c>
      <c r="H9" s="590">
        <f t="shared" si="1"/>
        <v>3</v>
      </c>
      <c r="I9" s="562">
        <f t="shared" si="2"/>
        <v>4.6146746654360866</v>
      </c>
      <c r="J9" s="562">
        <v>87.45</v>
      </c>
      <c r="K9" s="562">
        <v>0</v>
      </c>
      <c r="L9" s="562">
        <f t="shared" si="3"/>
        <v>0</v>
      </c>
      <c r="M9" s="562">
        <v>232.32</v>
      </c>
      <c r="N9" s="562">
        <v>7</v>
      </c>
      <c r="O9" s="562">
        <f t="shared" si="4"/>
        <v>3.0130853994490359</v>
      </c>
      <c r="P9" s="562">
        <f t="shared" si="5"/>
        <v>384.78</v>
      </c>
      <c r="Q9" s="562">
        <f t="shared" si="6"/>
        <v>10</v>
      </c>
      <c r="R9" s="562">
        <f t="shared" ref="R9:R13" si="7">Q9/P9%</f>
        <v>2.5988876760746402</v>
      </c>
    </row>
    <row r="10" spans="1:18">
      <c r="A10" s="442" t="s">
        <v>502</v>
      </c>
      <c r="B10" s="442">
        <f t="shared" ref="B10:R10" si="8">SUM(B7:B9)</f>
        <v>6</v>
      </c>
      <c r="C10" s="600">
        <f t="shared" si="8"/>
        <v>248.04999999999998</v>
      </c>
      <c r="D10" s="600">
        <f t="shared" si="8"/>
        <v>27.130000000000003</v>
      </c>
      <c r="E10" s="600">
        <f t="shared" si="8"/>
        <v>186.34</v>
      </c>
      <c r="F10" s="600">
        <f t="shared" si="8"/>
        <v>0</v>
      </c>
      <c r="G10" s="562">
        <f t="shared" si="0"/>
        <v>434.39</v>
      </c>
      <c r="H10" s="590">
        <f t="shared" si="1"/>
        <v>27.130000000000003</v>
      </c>
      <c r="I10" s="600">
        <f t="shared" si="8"/>
        <v>22.027892750017621</v>
      </c>
      <c r="J10" s="600">
        <f t="shared" si="8"/>
        <v>227.63</v>
      </c>
      <c r="K10" s="600">
        <f t="shared" si="8"/>
        <v>0</v>
      </c>
      <c r="L10" s="600">
        <f t="shared" si="8"/>
        <v>0</v>
      </c>
      <c r="M10" s="600">
        <f t="shared" si="8"/>
        <v>1199.6099999999999</v>
      </c>
      <c r="N10" s="600">
        <f t="shared" si="8"/>
        <v>54.269999999999996</v>
      </c>
      <c r="O10" s="600">
        <f t="shared" si="8"/>
        <v>17.55954423648819</v>
      </c>
      <c r="P10" s="562">
        <f t="shared" si="5"/>
        <v>1861.6299999999999</v>
      </c>
      <c r="Q10" s="562">
        <f t="shared" si="6"/>
        <v>81.400000000000006</v>
      </c>
      <c r="R10" s="600">
        <f t="shared" si="8"/>
        <v>16.89345373277585</v>
      </c>
    </row>
    <row r="11" spans="1:18">
      <c r="A11" s="442" t="s">
        <v>115</v>
      </c>
      <c r="B11" s="442">
        <v>3</v>
      </c>
      <c r="C11" s="561">
        <v>77</v>
      </c>
      <c r="D11" s="561">
        <v>11.16</v>
      </c>
      <c r="E11" s="562">
        <v>26.29</v>
      </c>
      <c r="F11" s="562">
        <v>6.63</v>
      </c>
      <c r="G11" s="562">
        <f t="shared" si="0"/>
        <v>103.28999999999999</v>
      </c>
      <c r="H11" s="590">
        <f t="shared" si="1"/>
        <v>17.79</v>
      </c>
      <c r="I11" s="562">
        <f t="shared" si="2"/>
        <v>17.22335172814406</v>
      </c>
      <c r="J11" s="562">
        <v>7.04</v>
      </c>
      <c r="K11" s="562">
        <v>1.65</v>
      </c>
      <c r="L11" s="562">
        <f t="shared" si="3"/>
        <v>23.437499999999996</v>
      </c>
      <c r="M11" s="562">
        <v>305.47000000000003</v>
      </c>
      <c r="N11" s="562">
        <v>37.200000000000003</v>
      </c>
      <c r="O11" s="562">
        <f t="shared" si="4"/>
        <v>12.177955282024421</v>
      </c>
      <c r="P11" s="562">
        <f t="shared" si="5"/>
        <v>415.8</v>
      </c>
      <c r="Q11" s="562">
        <f t="shared" si="6"/>
        <v>56.64</v>
      </c>
      <c r="R11" s="562">
        <f t="shared" si="7"/>
        <v>13.621933621933621</v>
      </c>
    </row>
    <row r="12" spans="1:18">
      <c r="A12" s="442" t="s">
        <v>503</v>
      </c>
      <c r="B12" s="442">
        <v>2</v>
      </c>
      <c r="C12" s="561">
        <v>8.14</v>
      </c>
      <c r="D12" s="561">
        <v>0</v>
      </c>
      <c r="E12" s="562">
        <v>185.86</v>
      </c>
      <c r="F12" s="562">
        <v>0</v>
      </c>
      <c r="G12" s="562">
        <f t="shared" si="0"/>
        <v>194</v>
      </c>
      <c r="H12" s="590">
        <f t="shared" si="1"/>
        <v>0</v>
      </c>
      <c r="I12" s="562">
        <f t="shared" si="2"/>
        <v>0</v>
      </c>
      <c r="J12" s="562">
        <v>11.94</v>
      </c>
      <c r="K12" s="562">
        <v>0</v>
      </c>
      <c r="L12" s="562">
        <f t="shared" si="3"/>
        <v>0</v>
      </c>
      <c r="M12" s="562">
        <v>114.18</v>
      </c>
      <c r="N12" s="562">
        <v>0</v>
      </c>
      <c r="O12" s="562">
        <f t="shared" si="4"/>
        <v>0</v>
      </c>
      <c r="P12" s="562">
        <f t="shared" si="5"/>
        <v>320.12</v>
      </c>
      <c r="Q12" s="562">
        <f t="shared" si="6"/>
        <v>0</v>
      </c>
      <c r="R12" s="562">
        <f t="shared" si="7"/>
        <v>0</v>
      </c>
    </row>
    <row r="13" spans="1:18">
      <c r="A13" s="442" t="s">
        <v>504</v>
      </c>
      <c r="B13" s="442">
        <f t="shared" ref="B13:N13" si="9">SUM(B10:B12)</f>
        <v>11</v>
      </c>
      <c r="C13" s="443">
        <f t="shared" si="9"/>
        <v>333.18999999999994</v>
      </c>
      <c r="D13" s="443">
        <f t="shared" si="9"/>
        <v>38.290000000000006</v>
      </c>
      <c r="E13" s="443">
        <f t="shared" si="9"/>
        <v>398.49</v>
      </c>
      <c r="F13" s="443">
        <f t="shared" si="9"/>
        <v>6.63</v>
      </c>
      <c r="G13" s="562">
        <f t="shared" si="0"/>
        <v>731.68</v>
      </c>
      <c r="H13" s="590">
        <f t="shared" si="1"/>
        <v>44.920000000000009</v>
      </c>
      <c r="I13" s="562">
        <f t="shared" si="2"/>
        <v>6.1392958670457043</v>
      </c>
      <c r="J13" s="443">
        <f t="shared" si="9"/>
        <v>246.60999999999999</v>
      </c>
      <c r="K13" s="443">
        <f t="shared" si="9"/>
        <v>1.65</v>
      </c>
      <c r="L13" s="562">
        <f t="shared" si="3"/>
        <v>0.66907262479218199</v>
      </c>
      <c r="M13" s="443">
        <f t="shared" si="9"/>
        <v>1619.26</v>
      </c>
      <c r="N13" s="443">
        <f t="shared" si="9"/>
        <v>91.47</v>
      </c>
      <c r="O13" s="562">
        <f t="shared" si="4"/>
        <v>5.6488766473574357</v>
      </c>
      <c r="P13" s="562">
        <f t="shared" si="5"/>
        <v>2597.5500000000002</v>
      </c>
      <c r="Q13" s="562">
        <f t="shared" si="6"/>
        <v>138.04000000000002</v>
      </c>
      <c r="R13" s="562">
        <f t="shared" si="7"/>
        <v>5.3142384169698378</v>
      </c>
    </row>
    <row r="14" spans="1:18">
      <c r="A14" s="563"/>
      <c r="B14" s="563"/>
      <c r="C14" s="601"/>
      <c r="D14" s="602" t="s">
        <v>533</v>
      </c>
      <c r="E14" s="602"/>
      <c r="F14" s="602"/>
      <c r="G14" s="602"/>
      <c r="H14" s="602"/>
      <c r="I14" s="602"/>
      <c r="J14" s="602"/>
      <c r="K14" s="602"/>
      <c r="L14" s="602"/>
      <c r="M14" s="602"/>
      <c r="N14" s="565"/>
      <c r="O14" s="603"/>
      <c r="P14" s="565"/>
      <c r="Q14" s="565"/>
      <c r="R14" s="603"/>
    </row>
    <row r="15" spans="1:18">
      <c r="A15" s="594" t="s">
        <v>534</v>
      </c>
      <c r="B15" s="1639" t="s">
        <v>535</v>
      </c>
      <c r="C15" s="1639"/>
      <c r="D15" s="604" t="s">
        <v>536</v>
      </c>
      <c r="E15" s="604"/>
      <c r="F15" s="604"/>
      <c r="G15" s="604"/>
      <c r="H15" s="604"/>
      <c r="I15" s="604"/>
      <c r="J15" s="604"/>
      <c r="K15" s="604"/>
      <c r="L15" s="604"/>
      <c r="M15" s="604"/>
      <c r="N15" s="440"/>
      <c r="O15" s="439"/>
      <c r="P15" s="440"/>
      <c r="Q15" s="440"/>
      <c r="R15" s="439"/>
    </row>
    <row r="16" spans="1:18">
      <c r="A16" s="1621" t="s">
        <v>343</v>
      </c>
      <c r="B16" s="1622" t="s">
        <v>501</v>
      </c>
      <c r="C16" s="1622" t="s">
        <v>484</v>
      </c>
      <c r="D16" s="1622"/>
      <c r="E16" s="1622" t="s">
        <v>485</v>
      </c>
      <c r="F16" s="1622"/>
      <c r="G16" s="1625" t="s">
        <v>486</v>
      </c>
      <c r="H16" s="1625"/>
      <c r="I16" s="1625"/>
      <c r="J16" s="1625" t="s">
        <v>487</v>
      </c>
      <c r="K16" s="1625"/>
      <c r="L16" s="1625"/>
      <c r="M16" s="1625" t="s">
        <v>488</v>
      </c>
      <c r="N16" s="1625"/>
      <c r="O16" s="1625"/>
      <c r="P16" s="1625" t="s">
        <v>489</v>
      </c>
      <c r="Q16" s="1625"/>
      <c r="R16" s="1625"/>
    </row>
    <row r="17" spans="1:22">
      <c r="A17" s="1621"/>
      <c r="B17" s="1622"/>
      <c r="C17" s="597" t="s">
        <v>530</v>
      </c>
      <c r="D17" s="441" t="s">
        <v>531</v>
      </c>
      <c r="E17" s="441" t="s">
        <v>490</v>
      </c>
      <c r="F17" s="441" t="s">
        <v>531</v>
      </c>
      <c r="G17" s="441" t="s">
        <v>490</v>
      </c>
      <c r="H17" s="441" t="s">
        <v>531</v>
      </c>
      <c r="I17" s="598" t="s">
        <v>532</v>
      </c>
      <c r="J17" s="441" t="s">
        <v>490</v>
      </c>
      <c r="K17" s="441" t="s">
        <v>531</v>
      </c>
      <c r="L17" s="598" t="s">
        <v>532</v>
      </c>
      <c r="M17" s="441" t="s">
        <v>490</v>
      </c>
      <c r="N17" s="441" t="s">
        <v>531</v>
      </c>
      <c r="O17" s="598" t="s">
        <v>532</v>
      </c>
      <c r="P17" s="441" t="s">
        <v>490</v>
      </c>
      <c r="Q17" s="441" t="s">
        <v>531</v>
      </c>
      <c r="R17" s="598" t="s">
        <v>532</v>
      </c>
    </row>
    <row r="18" spans="1:22">
      <c r="A18" s="560" t="s">
        <v>10</v>
      </c>
      <c r="B18" s="560">
        <v>1</v>
      </c>
      <c r="C18" s="561">
        <v>35.75</v>
      </c>
      <c r="D18" s="561">
        <v>0</v>
      </c>
      <c r="E18" s="518">
        <v>308.3</v>
      </c>
      <c r="F18" s="518">
        <v>0</v>
      </c>
      <c r="G18" s="562">
        <f>C18+E18</f>
        <v>344.05</v>
      </c>
      <c r="H18" s="599">
        <f>D18+F18</f>
        <v>0</v>
      </c>
      <c r="I18" s="600">
        <f>(H18/G18*100)</f>
        <v>0</v>
      </c>
      <c r="J18" s="562">
        <v>29.43</v>
      </c>
      <c r="K18" s="599">
        <v>0</v>
      </c>
      <c r="L18" s="600">
        <f>(K18/J18*100)</f>
        <v>0</v>
      </c>
      <c r="M18" s="518">
        <v>187</v>
      </c>
      <c r="N18" s="518">
        <v>0</v>
      </c>
      <c r="O18" s="600">
        <f>(N18/M18*100)</f>
        <v>0</v>
      </c>
      <c r="P18" s="562">
        <f>G18+J18+M18</f>
        <v>560.48</v>
      </c>
      <c r="Q18" s="599">
        <f>H18+K18+N18</f>
        <v>0</v>
      </c>
      <c r="R18" s="600">
        <f>(Q18/P18*100)</f>
        <v>0</v>
      </c>
    </row>
    <row r="19" spans="1:22">
      <c r="A19" s="442" t="s">
        <v>502</v>
      </c>
      <c r="B19" s="442">
        <v>1</v>
      </c>
      <c r="C19" s="443">
        <f>SUM(C18)</f>
        <v>35.75</v>
      </c>
      <c r="D19" s="599">
        <v>0</v>
      </c>
      <c r="E19" s="599">
        <f>SUM(E18)</f>
        <v>308.3</v>
      </c>
      <c r="F19" s="599">
        <v>0</v>
      </c>
      <c r="G19" s="562">
        <f t="shared" ref="G19:G21" si="10">C19+E19</f>
        <v>344.05</v>
      </c>
      <c r="H19" s="599">
        <f t="shared" ref="H19:H21" si="11">D19+F19</f>
        <v>0</v>
      </c>
      <c r="I19" s="600">
        <f>(H19/G19*100)</f>
        <v>0</v>
      </c>
      <c r="J19" s="599">
        <f>SUM(J18)</f>
        <v>29.43</v>
      </c>
      <c r="K19" s="599">
        <v>0</v>
      </c>
      <c r="L19" s="600">
        <f>(K19/J19*100)</f>
        <v>0</v>
      </c>
      <c r="M19" s="599">
        <f>SUM(M18)</f>
        <v>187</v>
      </c>
      <c r="N19" s="599">
        <v>0</v>
      </c>
      <c r="O19" s="600">
        <f>(N19/M19*100)</f>
        <v>0</v>
      </c>
      <c r="P19" s="562">
        <f t="shared" ref="P19:P21" si="12">G19+J19+M19</f>
        <v>560.48</v>
      </c>
      <c r="Q19" s="599">
        <f t="shared" ref="Q19:Q21" si="13">H19+K19+N19</f>
        <v>0</v>
      </c>
      <c r="R19" s="600">
        <f>(Q19/P19*100)</f>
        <v>0</v>
      </c>
    </row>
    <row r="20" spans="1:22">
      <c r="A20" s="442" t="s">
        <v>503</v>
      </c>
      <c r="B20" s="442">
        <v>3</v>
      </c>
      <c r="C20" s="561">
        <v>12.24</v>
      </c>
      <c r="D20" s="561">
        <v>0</v>
      </c>
      <c r="E20" s="518">
        <v>12.24</v>
      </c>
      <c r="F20" s="518">
        <v>0</v>
      </c>
      <c r="G20" s="562">
        <f t="shared" si="10"/>
        <v>24.48</v>
      </c>
      <c r="H20" s="599">
        <f t="shared" si="11"/>
        <v>0</v>
      </c>
      <c r="I20" s="600">
        <f>(H20/G20*100)</f>
        <v>0</v>
      </c>
      <c r="J20" s="562">
        <v>17.88</v>
      </c>
      <c r="K20" s="599">
        <v>0</v>
      </c>
      <c r="L20" s="600">
        <f>(K20/J20*100)</f>
        <v>0</v>
      </c>
      <c r="M20" s="518">
        <v>171.22</v>
      </c>
      <c r="N20" s="599">
        <v>0</v>
      </c>
      <c r="O20" s="600">
        <f>(N20/M20*100)</f>
        <v>0</v>
      </c>
      <c r="P20" s="562">
        <f t="shared" si="12"/>
        <v>213.57999999999998</v>
      </c>
      <c r="Q20" s="599">
        <f t="shared" si="13"/>
        <v>0</v>
      </c>
      <c r="R20" s="600">
        <f>(Q20/P20*100)</f>
        <v>0</v>
      </c>
      <c r="S20" s="643"/>
      <c r="T20" s="574"/>
      <c r="U20" s="574"/>
      <c r="V20" s="229"/>
    </row>
    <row r="21" spans="1:22">
      <c r="A21" s="442" t="s">
        <v>505</v>
      </c>
      <c r="B21" s="444">
        <f>SUM(B19:B20)</f>
        <v>4</v>
      </c>
      <c r="C21" s="444">
        <f>SUM(C19:C20)</f>
        <v>47.99</v>
      </c>
      <c r="D21" s="443">
        <f t="shared" ref="D21:R21" si="14">SUM(D19:D20)</f>
        <v>0</v>
      </c>
      <c r="E21" s="443">
        <f t="shared" si="14"/>
        <v>320.54000000000002</v>
      </c>
      <c r="F21" s="443">
        <f t="shared" si="14"/>
        <v>0</v>
      </c>
      <c r="G21" s="562">
        <f t="shared" si="10"/>
        <v>368.53000000000003</v>
      </c>
      <c r="H21" s="599">
        <f t="shared" si="11"/>
        <v>0</v>
      </c>
      <c r="I21" s="443">
        <f t="shared" si="14"/>
        <v>0</v>
      </c>
      <c r="J21" s="443">
        <f t="shared" si="14"/>
        <v>47.31</v>
      </c>
      <c r="K21" s="443">
        <f t="shared" si="14"/>
        <v>0</v>
      </c>
      <c r="L21" s="443">
        <f t="shared" si="14"/>
        <v>0</v>
      </c>
      <c r="M21" s="443">
        <f t="shared" si="14"/>
        <v>358.22</v>
      </c>
      <c r="N21" s="443">
        <f t="shared" si="14"/>
        <v>0</v>
      </c>
      <c r="O21" s="443">
        <f t="shared" si="14"/>
        <v>0</v>
      </c>
      <c r="P21" s="562">
        <f t="shared" si="12"/>
        <v>774.06000000000006</v>
      </c>
      <c r="Q21" s="599">
        <f t="shared" si="13"/>
        <v>0</v>
      </c>
      <c r="R21" s="443">
        <f t="shared" si="14"/>
        <v>0</v>
      </c>
    </row>
    <row r="22" spans="1:22">
      <c r="A22" s="445"/>
      <c r="B22" s="445"/>
      <c r="C22" s="605"/>
      <c r="D22" s="446"/>
      <c r="E22" s="446"/>
      <c r="F22" s="446"/>
      <c r="G22" s="1417"/>
      <c r="H22" s="446"/>
      <c r="I22" s="445"/>
      <c r="J22" s="446"/>
      <c r="K22" s="446"/>
      <c r="L22" s="445"/>
      <c r="M22" s="446"/>
      <c r="N22" s="446"/>
      <c r="O22" s="445"/>
      <c r="P22" s="446"/>
      <c r="Q22" s="446"/>
      <c r="R22" s="445"/>
    </row>
    <row r="23" spans="1:22">
      <c r="A23" s="439" t="s">
        <v>506</v>
      </c>
      <c r="B23" s="1415" t="s">
        <v>14</v>
      </c>
      <c r="C23" s="566"/>
      <c r="D23" s="1642" t="s">
        <v>529</v>
      </c>
      <c r="E23" s="1642"/>
      <c r="F23" s="1642"/>
      <c r="G23" s="1642"/>
      <c r="H23" s="1642"/>
      <c r="I23" s="1642"/>
      <c r="J23" s="1642"/>
      <c r="K23" s="1642"/>
      <c r="L23" s="1642"/>
      <c r="M23" s="1642"/>
      <c r="N23" s="440"/>
      <c r="O23" s="439"/>
      <c r="P23" s="440"/>
      <c r="Q23" s="440"/>
      <c r="R23" s="439"/>
    </row>
    <row r="24" spans="1:22">
      <c r="A24" s="1621" t="s">
        <v>343</v>
      </c>
      <c r="B24" s="1622" t="s">
        <v>501</v>
      </c>
      <c r="C24" s="1622" t="s">
        <v>484</v>
      </c>
      <c r="D24" s="1622"/>
      <c r="E24" s="1622" t="s">
        <v>485</v>
      </c>
      <c r="F24" s="1622"/>
      <c r="G24" s="1625" t="s">
        <v>486</v>
      </c>
      <c r="H24" s="1625"/>
      <c r="I24" s="1625"/>
      <c r="J24" s="1625" t="s">
        <v>487</v>
      </c>
      <c r="K24" s="1625"/>
      <c r="L24" s="1625"/>
      <c r="M24" s="1625" t="s">
        <v>488</v>
      </c>
      <c r="N24" s="1625"/>
      <c r="O24" s="1625"/>
      <c r="P24" s="1625" t="s">
        <v>489</v>
      </c>
      <c r="Q24" s="1625"/>
      <c r="R24" s="1625"/>
    </row>
    <row r="25" spans="1:22">
      <c r="A25" s="1621"/>
      <c r="B25" s="1622"/>
      <c r="C25" s="597" t="s">
        <v>530</v>
      </c>
      <c r="D25" s="441" t="s">
        <v>531</v>
      </c>
      <c r="E25" s="441" t="s">
        <v>490</v>
      </c>
      <c r="F25" s="441" t="s">
        <v>531</v>
      </c>
      <c r="G25" s="441" t="s">
        <v>490</v>
      </c>
      <c r="H25" s="441" t="s">
        <v>531</v>
      </c>
      <c r="I25" s="598" t="s">
        <v>532</v>
      </c>
      <c r="J25" s="441" t="s">
        <v>490</v>
      </c>
      <c r="K25" s="441" t="s">
        <v>531</v>
      </c>
      <c r="L25" s="598" t="s">
        <v>532</v>
      </c>
      <c r="M25" s="441" t="s">
        <v>490</v>
      </c>
      <c r="N25" s="441" t="s">
        <v>531</v>
      </c>
      <c r="O25" s="598" t="s">
        <v>532</v>
      </c>
      <c r="P25" s="441" t="s">
        <v>490</v>
      </c>
      <c r="Q25" s="441" t="s">
        <v>531</v>
      </c>
      <c r="R25" s="598" t="s">
        <v>532</v>
      </c>
    </row>
    <row r="26" spans="1:22">
      <c r="A26" s="560" t="s">
        <v>10</v>
      </c>
      <c r="B26" s="560">
        <v>1</v>
      </c>
      <c r="C26" s="561">
        <v>35.75</v>
      </c>
      <c r="D26" s="561">
        <v>0</v>
      </c>
      <c r="E26" s="562">
        <v>41.8</v>
      </c>
      <c r="F26" s="562">
        <v>0</v>
      </c>
      <c r="G26" s="562">
        <f>C26+E26</f>
        <v>77.55</v>
      </c>
      <c r="H26" s="599">
        <f>D26+F26</f>
        <v>0</v>
      </c>
      <c r="I26" s="600">
        <f>(H26/G26*100)</f>
        <v>0</v>
      </c>
      <c r="J26" s="561">
        <v>29.43</v>
      </c>
      <c r="K26" s="561">
        <v>0</v>
      </c>
      <c r="L26" s="600">
        <f>(K26/J26*100)</f>
        <v>0</v>
      </c>
      <c r="M26" s="561">
        <v>187</v>
      </c>
      <c r="N26" s="561">
        <v>15.26</v>
      </c>
      <c r="O26" s="600">
        <f>(N26/M26*100)</f>
        <v>8.1604278074866308</v>
      </c>
      <c r="P26" s="562">
        <f>G26+J26+M26</f>
        <v>293.98</v>
      </c>
      <c r="Q26" s="599">
        <f>H26+K26+N26</f>
        <v>15.26</v>
      </c>
      <c r="R26" s="600">
        <f>(Q26/P26*100)</f>
        <v>5.1908293081161982</v>
      </c>
      <c r="S26" s="643"/>
      <c r="T26" s="574"/>
      <c r="U26" s="574"/>
    </row>
    <row r="27" spans="1:22">
      <c r="A27" s="442" t="s">
        <v>502</v>
      </c>
      <c r="B27" s="442">
        <v>1</v>
      </c>
      <c r="C27" s="443">
        <f>SUM(C26)</f>
        <v>35.75</v>
      </c>
      <c r="D27" s="599">
        <v>0</v>
      </c>
      <c r="E27" s="599">
        <f>SUM(E26)</f>
        <v>41.8</v>
      </c>
      <c r="F27" s="599">
        <v>0</v>
      </c>
      <c r="G27" s="562">
        <f t="shared" ref="G27:G28" si="15">C27+E27</f>
        <v>77.55</v>
      </c>
      <c r="H27" s="599">
        <f t="shared" ref="H27:H28" si="16">D27+F27</f>
        <v>0</v>
      </c>
      <c r="I27" s="600">
        <f>(H27/G27*100)</f>
        <v>0</v>
      </c>
      <c r="J27" s="599">
        <f>SUM(J26)</f>
        <v>29.43</v>
      </c>
      <c r="K27" s="599">
        <v>0</v>
      </c>
      <c r="L27" s="600">
        <f>(K27/J27*100)</f>
        <v>0</v>
      </c>
      <c r="M27" s="599">
        <f>SUM(M26)</f>
        <v>187</v>
      </c>
      <c r="N27" s="599">
        <f>N26</f>
        <v>15.26</v>
      </c>
      <c r="O27" s="600">
        <f>(N27/M27*100)</f>
        <v>8.1604278074866308</v>
      </c>
      <c r="P27" s="562">
        <f t="shared" ref="P27:P28" si="17">G27+J27+M27</f>
        <v>293.98</v>
      </c>
      <c r="Q27" s="599">
        <f t="shared" ref="Q27:Q28" si="18">H27+K27+N27</f>
        <v>15.26</v>
      </c>
      <c r="R27" s="600">
        <f>(Q27/P27*100)</f>
        <v>5.1908293081161982</v>
      </c>
      <c r="S27" s="229"/>
      <c r="T27" s="229"/>
      <c r="U27" s="229"/>
    </row>
    <row r="28" spans="1:22">
      <c r="A28" s="442" t="s">
        <v>505</v>
      </c>
      <c r="B28" s="442">
        <v>1</v>
      </c>
      <c r="C28" s="443">
        <f>SUM(C27:C27)</f>
        <v>35.75</v>
      </c>
      <c r="D28" s="443">
        <f t="shared" ref="D28:N28" si="19">SUM(D27:D27)</f>
        <v>0</v>
      </c>
      <c r="E28" s="443">
        <f t="shared" si="19"/>
        <v>41.8</v>
      </c>
      <c r="F28" s="443">
        <f t="shared" si="19"/>
        <v>0</v>
      </c>
      <c r="G28" s="562">
        <f t="shared" si="15"/>
        <v>77.55</v>
      </c>
      <c r="H28" s="599">
        <f t="shared" si="16"/>
        <v>0</v>
      </c>
      <c r="I28" s="600">
        <f>(H28/G28*100)</f>
        <v>0</v>
      </c>
      <c r="J28" s="443">
        <f t="shared" si="19"/>
        <v>29.43</v>
      </c>
      <c r="K28" s="443">
        <f t="shared" si="19"/>
        <v>0</v>
      </c>
      <c r="L28" s="600">
        <f>(K28/J28*100)</f>
        <v>0</v>
      </c>
      <c r="M28" s="443">
        <f t="shared" si="19"/>
        <v>187</v>
      </c>
      <c r="N28" s="443">
        <f t="shared" si="19"/>
        <v>15.26</v>
      </c>
      <c r="O28" s="600">
        <f>(N28/M28*100)</f>
        <v>8.1604278074866308</v>
      </c>
      <c r="P28" s="562">
        <f t="shared" si="17"/>
        <v>293.98</v>
      </c>
      <c r="Q28" s="599">
        <f t="shared" si="18"/>
        <v>15.26</v>
      </c>
      <c r="R28" s="600">
        <f>(Q28/P28*100)</f>
        <v>5.1908293081161982</v>
      </c>
      <c r="S28" s="229"/>
      <c r="T28" s="229"/>
      <c r="U28" s="229"/>
    </row>
    <row r="29" spans="1:22">
      <c r="A29" s="445"/>
      <c r="B29" s="445"/>
      <c r="C29" s="605"/>
      <c r="D29" s="446"/>
      <c r="E29" s="446"/>
      <c r="F29" s="446"/>
      <c r="G29" s="446"/>
      <c r="H29" s="446"/>
      <c r="I29" s="445"/>
      <c r="J29" s="446"/>
      <c r="K29" s="446"/>
      <c r="L29" s="445"/>
      <c r="M29" s="446"/>
      <c r="N29" s="446"/>
      <c r="O29" s="445"/>
      <c r="P29" s="446"/>
      <c r="Q29" s="446"/>
      <c r="R29" s="445"/>
      <c r="S29" s="229"/>
      <c r="T29" s="229"/>
      <c r="U29" s="229"/>
    </row>
    <row r="30" spans="1:22">
      <c r="A30" s="606" t="s">
        <v>537</v>
      </c>
      <c r="B30" s="1639" t="s">
        <v>538</v>
      </c>
      <c r="C30" s="1639"/>
      <c r="D30" s="1642" t="s">
        <v>529</v>
      </c>
      <c r="E30" s="1642"/>
      <c r="F30" s="1642"/>
      <c r="G30" s="1642"/>
      <c r="H30" s="1642"/>
      <c r="I30" s="1642"/>
      <c r="J30" s="1642"/>
      <c r="K30" s="1642"/>
      <c r="L30" s="1642"/>
      <c r="M30" s="1642"/>
      <c r="N30" s="607"/>
      <c r="O30" s="608"/>
      <c r="P30" s="567"/>
      <c r="Q30" s="567"/>
      <c r="R30" s="609"/>
      <c r="S30" s="229"/>
      <c r="T30" s="229"/>
      <c r="U30" s="229"/>
    </row>
    <row r="31" spans="1:22">
      <c r="A31" s="1622" t="s">
        <v>500</v>
      </c>
      <c r="B31" s="1622" t="s">
        <v>501</v>
      </c>
      <c r="C31" s="1622" t="s">
        <v>484</v>
      </c>
      <c r="D31" s="1622"/>
      <c r="E31" s="1622" t="s">
        <v>485</v>
      </c>
      <c r="F31" s="1622"/>
      <c r="G31" s="1625" t="s">
        <v>486</v>
      </c>
      <c r="H31" s="1625"/>
      <c r="I31" s="1625"/>
      <c r="J31" s="1625" t="s">
        <v>487</v>
      </c>
      <c r="K31" s="1625"/>
      <c r="L31" s="1625"/>
      <c r="M31" s="1625" t="s">
        <v>488</v>
      </c>
      <c r="N31" s="1625"/>
      <c r="O31" s="1625"/>
      <c r="P31" s="1625" t="s">
        <v>489</v>
      </c>
      <c r="Q31" s="1625"/>
      <c r="R31" s="1625"/>
      <c r="S31" s="229"/>
      <c r="T31" s="229"/>
      <c r="U31" s="229"/>
    </row>
    <row r="32" spans="1:22">
      <c r="A32" s="1622"/>
      <c r="B32" s="1622"/>
      <c r="C32" s="597" t="s">
        <v>530</v>
      </c>
      <c r="D32" s="441" t="s">
        <v>531</v>
      </c>
      <c r="E32" s="441" t="s">
        <v>490</v>
      </c>
      <c r="F32" s="441" t="s">
        <v>531</v>
      </c>
      <c r="G32" s="441" t="s">
        <v>490</v>
      </c>
      <c r="H32" s="441" t="s">
        <v>531</v>
      </c>
      <c r="I32" s="598" t="s">
        <v>532</v>
      </c>
      <c r="J32" s="441" t="s">
        <v>490</v>
      </c>
      <c r="K32" s="441" t="s">
        <v>531</v>
      </c>
      <c r="L32" s="598" t="s">
        <v>532</v>
      </c>
      <c r="M32" s="441" t="s">
        <v>490</v>
      </c>
      <c r="N32" s="441" t="s">
        <v>531</v>
      </c>
      <c r="O32" s="598" t="s">
        <v>532</v>
      </c>
      <c r="P32" s="441" t="s">
        <v>490</v>
      </c>
      <c r="Q32" s="441" t="s">
        <v>531</v>
      </c>
      <c r="R32" s="598" t="s">
        <v>532</v>
      </c>
      <c r="S32" s="229"/>
      <c r="T32" s="229"/>
      <c r="U32" s="229"/>
    </row>
    <row r="33" spans="1:21">
      <c r="A33" s="560" t="s">
        <v>10</v>
      </c>
      <c r="B33" s="560">
        <v>2</v>
      </c>
      <c r="C33" s="561">
        <v>59.07</v>
      </c>
      <c r="D33" s="561">
        <v>10.39</v>
      </c>
      <c r="E33" s="562">
        <v>46.2</v>
      </c>
      <c r="F33" s="599">
        <v>0</v>
      </c>
      <c r="G33" s="562">
        <f t="shared" ref="G33:G38" si="20">C33+E33</f>
        <v>105.27000000000001</v>
      </c>
      <c r="H33" s="599">
        <f t="shared" ref="H33:H38" si="21">D33+F33</f>
        <v>10.39</v>
      </c>
      <c r="I33" s="600">
        <f t="shared" ref="I33:I38" si="22">(H33/G33*100)</f>
        <v>9.8698584592001506</v>
      </c>
      <c r="J33" s="561">
        <v>33</v>
      </c>
      <c r="K33" s="561">
        <v>0.96</v>
      </c>
      <c r="L33" s="600">
        <f t="shared" ref="L33:L38" si="23">(K33/J33*100)</f>
        <v>2.9090909090909092</v>
      </c>
      <c r="M33" s="561">
        <v>269.5</v>
      </c>
      <c r="N33" s="561">
        <v>29.67</v>
      </c>
      <c r="O33" s="600">
        <f t="shared" ref="O33:O38" si="24">(N33/M33*100)</f>
        <v>11.009276437847868</v>
      </c>
      <c r="P33" s="562">
        <f t="shared" ref="P33:P38" si="25">G33+J33+M33</f>
        <v>407.77</v>
      </c>
      <c r="Q33" s="599">
        <f t="shared" ref="Q33:Q38" si="26">H33+K33+N33</f>
        <v>41.02</v>
      </c>
      <c r="R33" s="600">
        <f t="shared" ref="R33:R38" si="27">(Q33/P33*100)</f>
        <v>10.059592417294065</v>
      </c>
      <c r="S33" s="643"/>
      <c r="T33" s="574"/>
      <c r="U33" s="574"/>
    </row>
    <row r="34" spans="1:21">
      <c r="A34" s="442" t="s">
        <v>17</v>
      </c>
      <c r="B34" s="442">
        <v>1</v>
      </c>
      <c r="C34" s="561">
        <v>50.6</v>
      </c>
      <c r="D34" s="561">
        <v>0</v>
      </c>
      <c r="E34" s="562">
        <v>53.35</v>
      </c>
      <c r="F34" s="599">
        <v>0</v>
      </c>
      <c r="G34" s="562">
        <f t="shared" si="20"/>
        <v>103.95</v>
      </c>
      <c r="H34" s="599">
        <f t="shared" si="21"/>
        <v>0</v>
      </c>
      <c r="I34" s="600">
        <f t="shared" si="22"/>
        <v>0</v>
      </c>
      <c r="J34" s="561">
        <v>22.48</v>
      </c>
      <c r="K34" s="561">
        <v>0</v>
      </c>
      <c r="L34" s="600">
        <f t="shared" si="23"/>
        <v>0</v>
      </c>
      <c r="M34" s="561">
        <v>54.07</v>
      </c>
      <c r="N34" s="561">
        <v>7</v>
      </c>
      <c r="O34" s="600">
        <f t="shared" si="24"/>
        <v>12.946180876641392</v>
      </c>
      <c r="P34" s="562">
        <f t="shared" si="25"/>
        <v>180.5</v>
      </c>
      <c r="Q34" s="599">
        <f t="shared" si="26"/>
        <v>7</v>
      </c>
      <c r="R34" s="600">
        <f t="shared" si="27"/>
        <v>3.8781163434903045</v>
      </c>
      <c r="S34" s="643"/>
      <c r="T34" s="574"/>
      <c r="U34" s="574"/>
    </row>
    <row r="35" spans="1:21">
      <c r="A35" s="442" t="s">
        <v>502</v>
      </c>
      <c r="B35" s="442">
        <v>3</v>
      </c>
      <c r="C35" s="443">
        <f>SUM(C33:C34)</f>
        <v>109.67</v>
      </c>
      <c r="D35" s="599">
        <f>SUM(D33:D34)</f>
        <v>10.39</v>
      </c>
      <c r="E35" s="599">
        <f>SUM(E33:E34)</f>
        <v>99.550000000000011</v>
      </c>
      <c r="F35" s="599">
        <f>SUM(F33:F34)</f>
        <v>0</v>
      </c>
      <c r="G35" s="562">
        <f t="shared" si="20"/>
        <v>209.22000000000003</v>
      </c>
      <c r="H35" s="599">
        <f t="shared" si="21"/>
        <v>10.39</v>
      </c>
      <c r="I35" s="600">
        <f t="shared" si="22"/>
        <v>4.9660644297868268</v>
      </c>
      <c r="J35" s="599">
        <f>SUM(J33:J34)</f>
        <v>55.480000000000004</v>
      </c>
      <c r="K35" s="599">
        <f>SUM(K33:K34)</f>
        <v>0.96</v>
      </c>
      <c r="L35" s="600">
        <f t="shared" si="23"/>
        <v>1.7303532804614274</v>
      </c>
      <c r="M35" s="599">
        <f>SUM(M33:M34)</f>
        <v>323.57</v>
      </c>
      <c r="N35" s="599">
        <f>SUM(N33:N34)</f>
        <v>36.67</v>
      </c>
      <c r="O35" s="600">
        <f t="shared" si="24"/>
        <v>11.332941867293012</v>
      </c>
      <c r="P35" s="562">
        <f t="shared" si="25"/>
        <v>588.27</v>
      </c>
      <c r="Q35" s="599">
        <f t="shared" si="26"/>
        <v>48.02</v>
      </c>
      <c r="R35" s="600">
        <f t="shared" si="27"/>
        <v>8.1629183878151199</v>
      </c>
      <c r="S35" s="229"/>
      <c r="T35" s="229"/>
      <c r="U35" s="229"/>
    </row>
    <row r="36" spans="1:21">
      <c r="A36" s="442" t="s">
        <v>115</v>
      </c>
      <c r="B36" s="442">
        <v>3</v>
      </c>
      <c r="C36" s="561">
        <v>60.5</v>
      </c>
      <c r="D36" s="561">
        <v>11.16</v>
      </c>
      <c r="E36" s="562">
        <v>26.29</v>
      </c>
      <c r="F36" s="599">
        <v>6.63</v>
      </c>
      <c r="G36" s="562">
        <f t="shared" si="20"/>
        <v>86.789999999999992</v>
      </c>
      <c r="H36" s="599">
        <f t="shared" si="21"/>
        <v>17.79</v>
      </c>
      <c r="I36" s="600">
        <f t="shared" si="22"/>
        <v>20.497753197372969</v>
      </c>
      <c r="J36" s="561">
        <v>7.04</v>
      </c>
      <c r="K36" s="561">
        <v>1.65</v>
      </c>
      <c r="L36" s="600">
        <f t="shared" si="23"/>
        <v>23.4375</v>
      </c>
      <c r="M36" s="561">
        <v>305.47000000000003</v>
      </c>
      <c r="N36" s="561">
        <v>36.119999999999997</v>
      </c>
      <c r="O36" s="600">
        <f t="shared" si="24"/>
        <v>11.82440174157855</v>
      </c>
      <c r="P36" s="562">
        <f t="shared" si="25"/>
        <v>399.3</v>
      </c>
      <c r="Q36" s="599">
        <f t="shared" si="26"/>
        <v>55.559999999999995</v>
      </c>
      <c r="R36" s="600">
        <f t="shared" si="27"/>
        <v>13.914350112697219</v>
      </c>
      <c r="S36" s="643"/>
      <c r="T36" s="574"/>
      <c r="U36" s="574"/>
    </row>
    <row r="37" spans="1:21">
      <c r="A37" s="442" t="s">
        <v>507</v>
      </c>
      <c r="B37" s="442">
        <v>1</v>
      </c>
      <c r="C37" s="561">
        <v>15.13</v>
      </c>
      <c r="D37" s="561">
        <v>0</v>
      </c>
      <c r="E37" s="562">
        <v>82.28</v>
      </c>
      <c r="F37" s="599">
        <v>0</v>
      </c>
      <c r="G37" s="562">
        <f t="shared" si="20"/>
        <v>97.41</v>
      </c>
      <c r="H37" s="599">
        <f t="shared" si="21"/>
        <v>0</v>
      </c>
      <c r="I37" s="600">
        <f t="shared" si="22"/>
        <v>0</v>
      </c>
      <c r="J37" s="561">
        <v>6.05</v>
      </c>
      <c r="K37" s="561">
        <v>0</v>
      </c>
      <c r="L37" s="600">
        <f t="shared" si="23"/>
        <v>0</v>
      </c>
      <c r="M37" s="561">
        <v>57.2</v>
      </c>
      <c r="N37" s="561">
        <v>0</v>
      </c>
      <c r="O37" s="600">
        <f t="shared" si="24"/>
        <v>0</v>
      </c>
      <c r="P37" s="562">
        <f t="shared" si="25"/>
        <v>160.66</v>
      </c>
      <c r="Q37" s="599">
        <f t="shared" si="26"/>
        <v>0</v>
      </c>
      <c r="R37" s="600">
        <f t="shared" si="27"/>
        <v>0</v>
      </c>
      <c r="S37" s="643"/>
      <c r="T37" s="574"/>
      <c r="U37" s="574"/>
    </row>
    <row r="38" spans="1:21">
      <c r="A38" s="442" t="s">
        <v>505</v>
      </c>
      <c r="B38" s="442">
        <f>B37+B36+B35</f>
        <v>7</v>
      </c>
      <c r="C38" s="444">
        <f t="shared" ref="C38:N38" si="28">SUM(C35:C37)</f>
        <v>185.3</v>
      </c>
      <c r="D38" s="444">
        <f t="shared" si="28"/>
        <v>21.55</v>
      </c>
      <c r="E38" s="444">
        <f t="shared" si="28"/>
        <v>208.12</v>
      </c>
      <c r="F38" s="444">
        <f t="shared" si="28"/>
        <v>6.63</v>
      </c>
      <c r="G38" s="562">
        <f t="shared" si="20"/>
        <v>393.42</v>
      </c>
      <c r="H38" s="599">
        <f t="shared" si="21"/>
        <v>28.18</v>
      </c>
      <c r="I38" s="600">
        <f t="shared" si="22"/>
        <v>7.1628285293071015</v>
      </c>
      <c r="J38" s="444">
        <f t="shared" si="28"/>
        <v>68.570000000000007</v>
      </c>
      <c r="K38" s="444">
        <f t="shared" si="28"/>
        <v>2.61</v>
      </c>
      <c r="L38" s="600">
        <f t="shared" si="23"/>
        <v>3.8063292985270523</v>
      </c>
      <c r="M38" s="444">
        <f t="shared" si="28"/>
        <v>686.24</v>
      </c>
      <c r="N38" s="444">
        <f t="shared" si="28"/>
        <v>72.789999999999992</v>
      </c>
      <c r="O38" s="600">
        <f t="shared" si="24"/>
        <v>10.607076241548146</v>
      </c>
      <c r="P38" s="562">
        <f t="shared" si="25"/>
        <v>1148.23</v>
      </c>
      <c r="Q38" s="599">
        <f t="shared" si="26"/>
        <v>103.57999999999998</v>
      </c>
      <c r="R38" s="600">
        <f t="shared" si="27"/>
        <v>9.0208407723191328</v>
      </c>
      <c r="S38" s="229"/>
      <c r="T38" s="229"/>
      <c r="U38" s="229"/>
    </row>
    <row r="39" spans="1:21">
      <c r="A39" s="574"/>
      <c r="B39" s="574"/>
      <c r="C39" s="610"/>
      <c r="D39" s="567"/>
      <c r="E39" s="567"/>
      <c r="F39" s="567"/>
      <c r="G39" s="567"/>
      <c r="H39" s="567"/>
      <c r="I39" s="609"/>
      <c r="J39" s="567"/>
      <c r="K39" s="567"/>
      <c r="L39" s="609"/>
      <c r="M39" s="567"/>
      <c r="N39" s="567"/>
      <c r="O39" s="609"/>
      <c r="P39" s="567"/>
      <c r="Q39" s="567"/>
      <c r="R39" s="609"/>
    </row>
    <row r="40" spans="1:21" s="741" customFormat="1">
      <c r="A40" s="574"/>
      <c r="B40" s="574"/>
      <c r="C40" s="610"/>
      <c r="D40" s="567"/>
      <c r="E40" s="567"/>
      <c r="F40" s="567"/>
      <c r="G40" s="567"/>
      <c r="H40" s="567"/>
      <c r="I40" s="609"/>
      <c r="J40" s="567"/>
      <c r="K40" s="567"/>
      <c r="L40" s="609"/>
      <c r="M40" s="567"/>
      <c r="N40" s="567"/>
      <c r="O40" s="609"/>
      <c r="P40" s="567"/>
      <c r="Q40" s="567"/>
      <c r="R40" s="609"/>
    </row>
    <row r="41" spans="1:21" s="741" customFormat="1">
      <c r="A41" s="574"/>
      <c r="B41" s="574"/>
      <c r="C41" s="610"/>
      <c r="D41" s="567"/>
      <c r="E41" s="567"/>
      <c r="F41" s="567"/>
      <c r="G41" s="567"/>
      <c r="H41" s="567"/>
      <c r="I41" s="609"/>
      <c r="J41" s="567"/>
      <c r="K41" s="567"/>
      <c r="L41" s="609"/>
      <c r="M41" s="567"/>
      <c r="N41" s="567"/>
      <c r="O41" s="609"/>
      <c r="P41" s="567"/>
      <c r="Q41" s="567"/>
      <c r="R41" s="609"/>
    </row>
    <row r="42" spans="1:21" s="741" customFormat="1">
      <c r="A42" s="574"/>
      <c r="B42" s="574"/>
      <c r="C42" s="610"/>
      <c r="D42" s="567"/>
      <c r="E42" s="567"/>
      <c r="F42" s="567"/>
      <c r="G42" s="567"/>
      <c r="H42" s="567"/>
      <c r="I42" s="609"/>
      <c r="J42" s="567"/>
      <c r="K42" s="567"/>
      <c r="L42" s="609"/>
      <c r="M42" s="567"/>
      <c r="N42" s="567"/>
      <c r="O42" s="609"/>
      <c r="P42" s="567"/>
      <c r="Q42" s="567"/>
      <c r="R42" s="609"/>
    </row>
    <row r="43" spans="1:21" s="741" customFormat="1">
      <c r="A43" s="574"/>
      <c r="B43" s="574"/>
      <c r="C43" s="610"/>
      <c r="D43" s="567"/>
      <c r="E43" s="567"/>
      <c r="F43" s="567"/>
      <c r="G43" s="567"/>
      <c r="H43" s="567"/>
      <c r="I43" s="609"/>
      <c r="J43" s="567"/>
      <c r="K43" s="567"/>
      <c r="L43" s="609"/>
      <c r="M43" s="567"/>
      <c r="N43" s="567"/>
      <c r="O43" s="609"/>
      <c r="P43" s="567"/>
      <c r="Q43" s="567"/>
      <c r="R43" s="609"/>
    </row>
    <row r="44" spans="1:21">
      <c r="A44" s="1641">
        <v>85</v>
      </c>
      <c r="B44" s="1641"/>
      <c r="C44" s="1641"/>
      <c r="D44" s="1641"/>
      <c r="E44" s="1641"/>
      <c r="F44" s="1641"/>
      <c r="G44" s="1641"/>
      <c r="H44" s="1641"/>
      <c r="I44" s="1641"/>
      <c r="J44" s="1641"/>
      <c r="K44" s="1641"/>
      <c r="L44" s="1641"/>
      <c r="M44" s="1641"/>
      <c r="N44" s="1641"/>
      <c r="O44" s="1641"/>
      <c r="P44" s="1641"/>
      <c r="Q44" s="1641"/>
      <c r="R44" s="1641"/>
    </row>
    <row r="45" spans="1:21">
      <c r="A45" s="606" t="s">
        <v>539</v>
      </c>
      <c r="B45" s="1639" t="s">
        <v>540</v>
      </c>
      <c r="C45" s="1639"/>
      <c r="D45" s="1626" t="s">
        <v>541</v>
      </c>
      <c r="E45" s="1626"/>
      <c r="F45" s="1626"/>
      <c r="G45" s="1626"/>
      <c r="H45" s="1626"/>
      <c r="I45" s="1626"/>
      <c r="J45" s="1626"/>
      <c r="K45" s="1626"/>
      <c r="L45" s="1626"/>
      <c r="M45" s="1626"/>
      <c r="N45" s="1626"/>
      <c r="O45" s="613"/>
      <c r="P45" s="567"/>
      <c r="Q45" s="1627" t="s">
        <v>315</v>
      </c>
      <c r="R45" s="1627"/>
    </row>
    <row r="46" spans="1:21">
      <c r="A46" s="1621" t="s">
        <v>343</v>
      </c>
      <c r="B46" s="1622" t="s">
        <v>501</v>
      </c>
      <c r="C46" s="1622" t="s">
        <v>484</v>
      </c>
      <c r="D46" s="1622"/>
      <c r="E46" s="1622" t="s">
        <v>485</v>
      </c>
      <c r="F46" s="1622"/>
      <c r="G46" s="1625" t="s">
        <v>486</v>
      </c>
      <c r="H46" s="1625"/>
      <c r="I46" s="1625"/>
      <c r="J46" s="1625" t="s">
        <v>487</v>
      </c>
      <c r="K46" s="1625"/>
      <c r="L46" s="1625"/>
      <c r="M46" s="1625" t="s">
        <v>488</v>
      </c>
      <c r="N46" s="1625"/>
      <c r="O46" s="1625"/>
      <c r="P46" s="1622" t="s">
        <v>489</v>
      </c>
      <c r="Q46" s="1622"/>
      <c r="R46" s="1622"/>
    </row>
    <row r="47" spans="1:21">
      <c r="A47" s="1621"/>
      <c r="B47" s="1622"/>
      <c r="C47" s="597" t="s">
        <v>530</v>
      </c>
      <c r="D47" s="441" t="s">
        <v>531</v>
      </c>
      <c r="E47" s="441" t="s">
        <v>490</v>
      </c>
      <c r="F47" s="441" t="s">
        <v>531</v>
      </c>
      <c r="G47" s="441" t="s">
        <v>490</v>
      </c>
      <c r="H47" s="441" t="s">
        <v>531</v>
      </c>
      <c r="I47" s="598" t="s">
        <v>532</v>
      </c>
      <c r="J47" s="441" t="s">
        <v>490</v>
      </c>
      <c r="K47" s="441" t="s">
        <v>531</v>
      </c>
      <c r="L47" s="598" t="s">
        <v>532</v>
      </c>
      <c r="M47" s="441" t="s">
        <v>490</v>
      </c>
      <c r="N47" s="441" t="s">
        <v>531</v>
      </c>
      <c r="O47" s="598" t="s">
        <v>532</v>
      </c>
      <c r="P47" s="441" t="s">
        <v>490</v>
      </c>
      <c r="Q47" s="441" t="s">
        <v>531</v>
      </c>
      <c r="R47" s="598" t="s">
        <v>532</v>
      </c>
    </row>
    <row r="48" spans="1:21">
      <c r="A48" s="560" t="s">
        <v>10</v>
      </c>
      <c r="B48" s="560">
        <v>3</v>
      </c>
      <c r="C48" s="561">
        <v>106.57</v>
      </c>
      <c r="D48" s="561">
        <v>0</v>
      </c>
      <c r="E48" s="562">
        <v>118.6</v>
      </c>
      <c r="F48" s="562">
        <v>0</v>
      </c>
      <c r="G48" s="562">
        <f>C48+E48</f>
        <v>225.17</v>
      </c>
      <c r="H48" s="562">
        <f t="shared" ref="H48:H59" si="29">F471+D48</f>
        <v>0</v>
      </c>
      <c r="I48" s="562">
        <f>H48/G48%</f>
        <v>0</v>
      </c>
      <c r="J48" s="561">
        <v>88.28</v>
      </c>
      <c r="K48" s="561">
        <v>0</v>
      </c>
      <c r="L48" s="561">
        <f>K48/J48%</f>
        <v>0</v>
      </c>
      <c r="M48" s="561">
        <v>561</v>
      </c>
      <c r="N48" s="561">
        <v>15.78</v>
      </c>
      <c r="O48" s="561">
        <f>N48/M48%</f>
        <v>2.8128342245989302</v>
      </c>
      <c r="P48" s="562">
        <f>G48+J48+M48</f>
        <v>874.45</v>
      </c>
      <c r="Q48" s="562">
        <f t="shared" ref="Q48:Q59" si="30">N48+K48+H48</f>
        <v>15.78</v>
      </c>
      <c r="R48" s="562">
        <f t="shared" ref="R48:R59" si="31">Q48/P48%</f>
        <v>1.8045628680885126</v>
      </c>
      <c r="S48" s="643"/>
      <c r="T48" s="574"/>
      <c r="U48" s="574"/>
    </row>
    <row r="49" spans="1:21">
      <c r="A49" s="442" t="s">
        <v>17</v>
      </c>
      <c r="B49" s="442">
        <v>1</v>
      </c>
      <c r="C49" s="561">
        <v>50.6</v>
      </c>
      <c r="D49" s="561">
        <v>0</v>
      </c>
      <c r="E49" s="562">
        <v>53.35</v>
      </c>
      <c r="F49" s="562">
        <v>0</v>
      </c>
      <c r="G49" s="562">
        <f t="shared" ref="G49:G59" si="32">C49+E49</f>
        <v>103.95</v>
      </c>
      <c r="H49" s="562">
        <f t="shared" si="29"/>
        <v>0</v>
      </c>
      <c r="I49" s="562">
        <f t="shared" ref="I49:I59" si="33">H49/G49%</f>
        <v>0</v>
      </c>
      <c r="J49" s="561">
        <v>22.48</v>
      </c>
      <c r="K49" s="561">
        <v>0</v>
      </c>
      <c r="L49" s="561">
        <f t="shared" ref="L49:L59" si="34">K49/J49%</f>
        <v>0</v>
      </c>
      <c r="M49" s="561">
        <v>54.07</v>
      </c>
      <c r="N49" s="561">
        <v>0</v>
      </c>
      <c r="O49" s="561">
        <f t="shared" ref="O49:O59" si="35">N49/M49%</f>
        <v>0</v>
      </c>
      <c r="P49" s="562">
        <f t="shared" ref="P49:P59" si="36">G49+J49+M49</f>
        <v>180.5</v>
      </c>
      <c r="Q49" s="562">
        <f t="shared" si="30"/>
        <v>0</v>
      </c>
      <c r="R49" s="562">
        <f t="shared" si="31"/>
        <v>0</v>
      </c>
      <c r="S49" s="643"/>
      <c r="T49" s="574"/>
      <c r="U49" s="574"/>
    </row>
    <row r="50" spans="1:21">
      <c r="A50" s="571" t="s">
        <v>27</v>
      </c>
      <c r="B50" s="571">
        <v>1</v>
      </c>
      <c r="C50" s="561">
        <v>18.7</v>
      </c>
      <c r="D50" s="561">
        <v>0</v>
      </c>
      <c r="E50" s="562">
        <v>0.44</v>
      </c>
      <c r="F50" s="562">
        <v>0</v>
      </c>
      <c r="G50" s="562">
        <f t="shared" si="32"/>
        <v>19.14</v>
      </c>
      <c r="H50" s="562">
        <f t="shared" si="29"/>
        <v>0</v>
      </c>
      <c r="I50" s="562">
        <f t="shared" si="33"/>
        <v>0</v>
      </c>
      <c r="J50" s="561">
        <v>245.19</v>
      </c>
      <c r="K50" s="561">
        <v>0</v>
      </c>
      <c r="L50" s="561">
        <f t="shared" si="34"/>
        <v>0</v>
      </c>
      <c r="M50" s="561">
        <v>2.48</v>
      </c>
      <c r="N50" s="561">
        <v>0</v>
      </c>
      <c r="O50" s="561">
        <f t="shared" si="35"/>
        <v>0</v>
      </c>
      <c r="P50" s="562">
        <f t="shared" si="36"/>
        <v>266.81</v>
      </c>
      <c r="Q50" s="562">
        <f t="shared" si="30"/>
        <v>0</v>
      </c>
      <c r="R50" s="562">
        <f t="shared" si="31"/>
        <v>0</v>
      </c>
      <c r="S50" s="643"/>
      <c r="T50" s="574"/>
      <c r="U50" s="574"/>
    </row>
    <row r="51" spans="1:21">
      <c r="A51" s="442" t="s">
        <v>11</v>
      </c>
      <c r="B51" s="442">
        <v>1</v>
      </c>
      <c r="C51" s="561">
        <v>27.5</v>
      </c>
      <c r="D51" s="561">
        <v>0</v>
      </c>
      <c r="E51" s="562">
        <v>0</v>
      </c>
      <c r="F51" s="562">
        <v>0</v>
      </c>
      <c r="G51" s="562">
        <f t="shared" si="32"/>
        <v>27.5</v>
      </c>
      <c r="H51" s="562">
        <f t="shared" si="29"/>
        <v>0</v>
      </c>
      <c r="I51" s="562">
        <f t="shared" si="33"/>
        <v>0</v>
      </c>
      <c r="J51" s="561">
        <v>8.8000000000000007</v>
      </c>
      <c r="K51" s="561">
        <v>0</v>
      </c>
      <c r="L51" s="561">
        <f t="shared" si="34"/>
        <v>0</v>
      </c>
      <c r="M51" s="561">
        <v>4.4000000000000004</v>
      </c>
      <c r="N51" s="561">
        <v>0</v>
      </c>
      <c r="O51" s="561">
        <f t="shared" si="35"/>
        <v>0</v>
      </c>
      <c r="P51" s="562">
        <f t="shared" si="36"/>
        <v>40.699999999999996</v>
      </c>
      <c r="Q51" s="562">
        <f t="shared" si="30"/>
        <v>0</v>
      </c>
      <c r="R51" s="562">
        <f t="shared" si="31"/>
        <v>0</v>
      </c>
      <c r="S51" s="643"/>
      <c r="T51" s="574"/>
      <c r="U51" s="574"/>
    </row>
    <row r="52" spans="1:21">
      <c r="A52" s="442" t="s">
        <v>26</v>
      </c>
      <c r="B52" s="442">
        <v>1</v>
      </c>
      <c r="C52" s="561">
        <v>27.5</v>
      </c>
      <c r="D52" s="561">
        <v>0</v>
      </c>
      <c r="E52" s="562">
        <v>0</v>
      </c>
      <c r="F52" s="562">
        <v>0</v>
      </c>
      <c r="G52" s="562">
        <f t="shared" si="32"/>
        <v>27.5</v>
      </c>
      <c r="H52" s="562">
        <f t="shared" si="29"/>
        <v>0</v>
      </c>
      <c r="I52" s="562">
        <f t="shared" si="33"/>
        <v>0</v>
      </c>
      <c r="J52" s="561">
        <v>51.54</v>
      </c>
      <c r="K52" s="561">
        <v>0.65</v>
      </c>
      <c r="L52" s="561">
        <f t="shared" si="34"/>
        <v>1.2611563833915407</v>
      </c>
      <c r="M52" s="561">
        <v>7.15</v>
      </c>
      <c r="N52" s="561">
        <v>0</v>
      </c>
      <c r="O52" s="561">
        <f t="shared" si="35"/>
        <v>0</v>
      </c>
      <c r="P52" s="562">
        <f t="shared" si="36"/>
        <v>86.19</v>
      </c>
      <c r="Q52" s="562">
        <f t="shared" si="30"/>
        <v>0.65</v>
      </c>
      <c r="R52" s="562">
        <f t="shared" si="31"/>
        <v>0.75414781297134237</v>
      </c>
      <c r="S52" s="643"/>
      <c r="T52" s="574"/>
      <c r="U52" s="574"/>
    </row>
    <row r="53" spans="1:21">
      <c r="A53" s="442" t="s">
        <v>19</v>
      </c>
      <c r="B53" s="442">
        <v>1</v>
      </c>
      <c r="C53" s="561">
        <v>40.700000000000003</v>
      </c>
      <c r="D53" s="561">
        <v>0</v>
      </c>
      <c r="E53" s="562">
        <v>10.01</v>
      </c>
      <c r="F53" s="562">
        <v>0</v>
      </c>
      <c r="G53" s="562">
        <f t="shared" si="32"/>
        <v>50.71</v>
      </c>
      <c r="H53" s="562">
        <f t="shared" si="29"/>
        <v>0</v>
      </c>
      <c r="I53" s="562">
        <f t="shared" si="33"/>
        <v>0</v>
      </c>
      <c r="J53" s="561">
        <v>87.45</v>
      </c>
      <c r="K53" s="561">
        <v>0</v>
      </c>
      <c r="L53" s="561">
        <f t="shared" si="34"/>
        <v>0</v>
      </c>
      <c r="M53" s="561">
        <v>397.32</v>
      </c>
      <c r="N53" s="561">
        <v>0</v>
      </c>
      <c r="O53" s="561">
        <f t="shared" si="35"/>
        <v>0</v>
      </c>
      <c r="P53" s="562">
        <f t="shared" si="36"/>
        <v>535.48</v>
      </c>
      <c r="Q53" s="562">
        <f t="shared" si="30"/>
        <v>0</v>
      </c>
      <c r="R53" s="562">
        <f t="shared" si="31"/>
        <v>0</v>
      </c>
      <c r="S53" s="643"/>
      <c r="T53" s="574"/>
      <c r="U53" s="574"/>
    </row>
    <row r="54" spans="1:21">
      <c r="A54" s="572" t="s">
        <v>56</v>
      </c>
      <c r="B54" s="572">
        <v>1</v>
      </c>
      <c r="C54" s="561">
        <v>55.5</v>
      </c>
      <c r="D54" s="561">
        <v>0</v>
      </c>
      <c r="E54" s="562">
        <v>190.69</v>
      </c>
      <c r="F54" s="562">
        <v>0</v>
      </c>
      <c r="G54" s="562">
        <f t="shared" si="32"/>
        <v>246.19</v>
      </c>
      <c r="H54" s="562">
        <f t="shared" si="29"/>
        <v>0</v>
      </c>
      <c r="I54" s="562">
        <f t="shared" si="33"/>
        <v>0</v>
      </c>
      <c r="J54" s="561">
        <v>290.68</v>
      </c>
      <c r="K54" s="561">
        <v>0</v>
      </c>
      <c r="L54" s="561">
        <f t="shared" si="34"/>
        <v>0</v>
      </c>
      <c r="M54" s="561">
        <v>576.79</v>
      </c>
      <c r="N54" s="561">
        <v>0</v>
      </c>
      <c r="O54" s="561">
        <f t="shared" si="35"/>
        <v>0</v>
      </c>
      <c r="P54" s="562">
        <f t="shared" si="36"/>
        <v>1113.6599999999999</v>
      </c>
      <c r="Q54" s="562">
        <f t="shared" si="30"/>
        <v>0</v>
      </c>
      <c r="R54" s="562">
        <f t="shared" si="31"/>
        <v>0</v>
      </c>
      <c r="S54" s="643"/>
      <c r="T54" s="574"/>
      <c r="U54" s="574"/>
    </row>
    <row r="55" spans="1:21">
      <c r="A55" s="442" t="s">
        <v>28</v>
      </c>
      <c r="B55" s="442">
        <v>1</v>
      </c>
      <c r="C55" s="561">
        <v>16.5</v>
      </c>
      <c r="D55" s="561">
        <v>0</v>
      </c>
      <c r="E55" s="562">
        <v>9.08</v>
      </c>
      <c r="F55" s="562">
        <v>0.5</v>
      </c>
      <c r="G55" s="562">
        <f t="shared" si="32"/>
        <v>25.58</v>
      </c>
      <c r="H55" s="562">
        <f t="shared" si="29"/>
        <v>0</v>
      </c>
      <c r="I55" s="562">
        <f t="shared" si="33"/>
        <v>0</v>
      </c>
      <c r="J55" s="561">
        <v>8.64</v>
      </c>
      <c r="K55" s="561">
        <v>0</v>
      </c>
      <c r="L55" s="561">
        <f t="shared" si="34"/>
        <v>0</v>
      </c>
      <c r="M55" s="561">
        <v>22</v>
      </c>
      <c r="N55" s="561">
        <v>6.5</v>
      </c>
      <c r="O55" s="561">
        <f t="shared" si="35"/>
        <v>29.545454545454547</v>
      </c>
      <c r="P55" s="562">
        <f t="shared" si="36"/>
        <v>56.22</v>
      </c>
      <c r="Q55" s="562">
        <f t="shared" si="30"/>
        <v>6.5</v>
      </c>
      <c r="R55" s="562">
        <f t="shared" si="31"/>
        <v>11.561721807186053</v>
      </c>
      <c r="S55" s="643"/>
      <c r="T55" s="574"/>
      <c r="U55" s="574"/>
    </row>
    <row r="56" spans="1:21">
      <c r="A56" s="442" t="s">
        <v>502</v>
      </c>
      <c r="B56" s="442">
        <v>10</v>
      </c>
      <c r="C56" s="444">
        <v>343.56</v>
      </c>
      <c r="D56" s="599">
        <f>SUM(D48:D55)</f>
        <v>0</v>
      </c>
      <c r="E56" s="599">
        <v>382.16</v>
      </c>
      <c r="F56" s="599">
        <f>SUM(F48:F55)</f>
        <v>0.5</v>
      </c>
      <c r="G56" s="562">
        <f t="shared" si="32"/>
        <v>725.72</v>
      </c>
      <c r="H56" s="562">
        <f t="shared" si="29"/>
        <v>0</v>
      </c>
      <c r="I56" s="562">
        <f t="shared" si="33"/>
        <v>0</v>
      </c>
      <c r="J56" s="599">
        <v>803.04</v>
      </c>
      <c r="K56" s="599">
        <f>SUM(K48:K55)</f>
        <v>0.65</v>
      </c>
      <c r="L56" s="561">
        <f t="shared" si="34"/>
        <v>8.0942418808527594E-2</v>
      </c>
      <c r="M56" s="599">
        <v>1625.2</v>
      </c>
      <c r="N56" s="599">
        <f>SUM(N48:N55)</f>
        <v>22.28</v>
      </c>
      <c r="O56" s="561">
        <f t="shared" si="35"/>
        <v>1.3709081959143492</v>
      </c>
      <c r="P56" s="562">
        <f t="shared" si="36"/>
        <v>3153.96</v>
      </c>
      <c r="Q56" s="562">
        <f t="shared" si="30"/>
        <v>22.93</v>
      </c>
      <c r="R56" s="562">
        <f t="shared" si="31"/>
        <v>0.72702253674745398</v>
      </c>
      <c r="S56" s="229"/>
      <c r="T56" s="229"/>
      <c r="U56" s="229"/>
    </row>
    <row r="57" spans="1:21">
      <c r="A57" s="442" t="s">
        <v>115</v>
      </c>
      <c r="B57" s="442">
        <v>6</v>
      </c>
      <c r="C57" s="561">
        <v>154</v>
      </c>
      <c r="D57" s="561">
        <v>22.32</v>
      </c>
      <c r="E57" s="562">
        <v>52.64</v>
      </c>
      <c r="F57" s="562">
        <v>13.26</v>
      </c>
      <c r="G57" s="562">
        <f t="shared" si="32"/>
        <v>206.64</v>
      </c>
      <c r="H57" s="562">
        <f t="shared" si="29"/>
        <v>22.32</v>
      </c>
      <c r="I57" s="562">
        <f t="shared" si="33"/>
        <v>10.801393728222997</v>
      </c>
      <c r="J57" s="561">
        <v>14.08</v>
      </c>
      <c r="K57" s="561">
        <v>3.3</v>
      </c>
      <c r="L57" s="561">
        <f t="shared" si="34"/>
        <v>23.437499999999996</v>
      </c>
      <c r="M57" s="561">
        <v>610.94000000000005</v>
      </c>
      <c r="N57" s="561">
        <v>72.239999999999995</v>
      </c>
      <c r="O57" s="561">
        <f t="shared" si="35"/>
        <v>11.824401741578548</v>
      </c>
      <c r="P57" s="562">
        <f t="shared" si="36"/>
        <v>831.66000000000008</v>
      </c>
      <c r="Q57" s="562">
        <f t="shared" si="30"/>
        <v>97.859999999999985</v>
      </c>
      <c r="R57" s="562">
        <f t="shared" si="31"/>
        <v>11.766827790202724</v>
      </c>
      <c r="S57" s="643"/>
      <c r="T57" s="574"/>
      <c r="U57" s="574"/>
    </row>
    <row r="58" spans="1:21">
      <c r="A58" s="442" t="s">
        <v>507</v>
      </c>
      <c r="B58" s="442">
        <v>1</v>
      </c>
      <c r="C58" s="561">
        <v>4.07</v>
      </c>
      <c r="D58" s="561">
        <v>0</v>
      </c>
      <c r="E58" s="562">
        <v>93.28</v>
      </c>
      <c r="F58" s="562">
        <v>0</v>
      </c>
      <c r="G58" s="562">
        <f t="shared" si="32"/>
        <v>97.35</v>
      </c>
      <c r="H58" s="562">
        <f t="shared" si="29"/>
        <v>0</v>
      </c>
      <c r="I58" s="562">
        <f t="shared" si="33"/>
        <v>0</v>
      </c>
      <c r="J58" s="561">
        <v>6.05</v>
      </c>
      <c r="K58" s="561">
        <v>0</v>
      </c>
      <c r="L58" s="561">
        <f t="shared" si="34"/>
        <v>0</v>
      </c>
      <c r="M58" s="561">
        <v>57.2</v>
      </c>
      <c r="N58" s="561">
        <v>0</v>
      </c>
      <c r="O58" s="561">
        <f t="shared" si="35"/>
        <v>0</v>
      </c>
      <c r="P58" s="562">
        <f t="shared" si="36"/>
        <v>160.6</v>
      </c>
      <c r="Q58" s="562">
        <f t="shared" si="30"/>
        <v>0</v>
      </c>
      <c r="R58" s="562">
        <f t="shared" si="31"/>
        <v>0</v>
      </c>
      <c r="S58" s="643"/>
      <c r="T58" s="574"/>
      <c r="U58" s="574"/>
    </row>
    <row r="59" spans="1:21">
      <c r="A59" s="442" t="s">
        <v>505</v>
      </c>
      <c r="B59" s="442">
        <f>SUM(B56:B58)</f>
        <v>17</v>
      </c>
      <c r="C59" s="443">
        <f>SUM(C56:C58)</f>
        <v>501.63</v>
      </c>
      <c r="D59" s="443">
        <f t="shared" ref="D59:N59" si="37">SUM(D56:D58)</f>
        <v>22.32</v>
      </c>
      <c r="E59" s="443">
        <f t="shared" si="37"/>
        <v>528.08000000000004</v>
      </c>
      <c r="F59" s="443">
        <f t="shared" si="37"/>
        <v>13.76</v>
      </c>
      <c r="G59" s="562">
        <f t="shared" si="32"/>
        <v>1029.71</v>
      </c>
      <c r="H59" s="562">
        <f t="shared" si="29"/>
        <v>22.32</v>
      </c>
      <c r="I59" s="562">
        <f t="shared" si="33"/>
        <v>2.1676005865729184</v>
      </c>
      <c r="J59" s="443">
        <f t="shared" si="37"/>
        <v>823.17</v>
      </c>
      <c r="K59" s="443">
        <f t="shared" si="37"/>
        <v>3.9499999999999997</v>
      </c>
      <c r="L59" s="561">
        <f t="shared" si="34"/>
        <v>0.4798522783872104</v>
      </c>
      <c r="M59" s="443">
        <f t="shared" si="37"/>
        <v>2293.34</v>
      </c>
      <c r="N59" s="443">
        <f t="shared" si="37"/>
        <v>94.52</v>
      </c>
      <c r="O59" s="561">
        <f t="shared" si="35"/>
        <v>4.1214996468033513</v>
      </c>
      <c r="P59" s="562">
        <f t="shared" si="36"/>
        <v>4146.22</v>
      </c>
      <c r="Q59" s="562">
        <f t="shared" si="30"/>
        <v>120.78999999999999</v>
      </c>
      <c r="R59" s="562">
        <f t="shared" si="31"/>
        <v>2.9132559294972284</v>
      </c>
    </row>
    <row r="60" spans="1:21">
      <c r="A60" s="574"/>
      <c r="B60" s="574"/>
      <c r="C60" s="580"/>
      <c r="D60" s="567"/>
      <c r="E60" s="567"/>
      <c r="F60" s="567"/>
      <c r="G60" s="567"/>
      <c r="H60" s="567"/>
      <c r="I60" s="609"/>
      <c r="J60" s="567"/>
      <c r="K60" s="567"/>
      <c r="L60" s="609"/>
      <c r="M60" s="567"/>
      <c r="N60" s="567"/>
      <c r="O60" s="609"/>
      <c r="P60" s="567"/>
      <c r="Q60" s="567"/>
      <c r="R60" s="609"/>
    </row>
    <row r="61" spans="1:21">
      <c r="A61" s="563"/>
      <c r="B61" s="563"/>
      <c r="C61" s="601"/>
      <c r="D61" s="564"/>
      <c r="E61" s="565"/>
      <c r="F61" s="565"/>
      <c r="G61" s="565"/>
      <c r="H61" s="565"/>
      <c r="I61" s="603"/>
      <c r="J61" s="565"/>
      <c r="K61" s="565"/>
      <c r="L61" s="603"/>
      <c r="M61" s="565"/>
      <c r="N61" s="565"/>
      <c r="O61" s="603"/>
      <c r="P61" s="565"/>
      <c r="Q61" s="565"/>
      <c r="R61" s="603"/>
    </row>
    <row r="62" spans="1:21">
      <c r="A62" s="606" t="s">
        <v>537</v>
      </c>
      <c r="B62" s="1639" t="s">
        <v>542</v>
      </c>
      <c r="C62" s="1639"/>
      <c r="D62" s="1626" t="s">
        <v>541</v>
      </c>
      <c r="E62" s="1626"/>
      <c r="F62" s="1626"/>
      <c r="G62" s="1626"/>
      <c r="H62" s="1626"/>
      <c r="I62" s="1626"/>
      <c r="J62" s="1626"/>
      <c r="K62" s="1626"/>
      <c r="L62" s="1626"/>
      <c r="M62" s="1626"/>
      <c r="N62" s="567"/>
      <c r="O62" s="613"/>
      <c r="P62" s="573"/>
      <c r="Q62" s="573"/>
      <c r="R62" s="613"/>
    </row>
    <row r="63" spans="1:21">
      <c r="A63" s="1621" t="s">
        <v>343</v>
      </c>
      <c r="B63" s="1622" t="s">
        <v>501</v>
      </c>
      <c r="C63" s="1622" t="s">
        <v>484</v>
      </c>
      <c r="D63" s="1622"/>
      <c r="E63" s="1622" t="s">
        <v>485</v>
      </c>
      <c r="F63" s="1622"/>
      <c r="G63" s="1625" t="s">
        <v>486</v>
      </c>
      <c r="H63" s="1625"/>
      <c r="I63" s="1625"/>
      <c r="J63" s="1625" t="s">
        <v>487</v>
      </c>
      <c r="K63" s="1625"/>
      <c r="L63" s="1625"/>
      <c r="M63" s="1625" t="s">
        <v>488</v>
      </c>
      <c r="N63" s="1625"/>
      <c r="O63" s="1625"/>
      <c r="P63" s="1625" t="s">
        <v>489</v>
      </c>
      <c r="Q63" s="1625"/>
      <c r="R63" s="1625"/>
    </row>
    <row r="64" spans="1:21">
      <c r="A64" s="1621"/>
      <c r="B64" s="1622"/>
      <c r="C64" s="597" t="s">
        <v>530</v>
      </c>
      <c r="D64" s="441" t="s">
        <v>531</v>
      </c>
      <c r="E64" s="441" t="s">
        <v>490</v>
      </c>
      <c r="F64" s="441" t="s">
        <v>531</v>
      </c>
      <c r="G64" s="441" t="s">
        <v>490</v>
      </c>
      <c r="H64" s="441" t="s">
        <v>531</v>
      </c>
      <c r="I64" s="598" t="s">
        <v>532</v>
      </c>
      <c r="J64" s="441" t="s">
        <v>490</v>
      </c>
      <c r="K64" s="441" t="s">
        <v>531</v>
      </c>
      <c r="L64" s="598" t="s">
        <v>532</v>
      </c>
      <c r="M64" s="441" t="s">
        <v>490</v>
      </c>
      <c r="N64" s="441" t="s">
        <v>531</v>
      </c>
      <c r="O64" s="598" t="s">
        <v>532</v>
      </c>
      <c r="P64" s="441" t="s">
        <v>490</v>
      </c>
      <c r="Q64" s="441" t="s">
        <v>531</v>
      </c>
      <c r="R64" s="598" t="s">
        <v>532</v>
      </c>
    </row>
    <row r="65" spans="1:21">
      <c r="A65" s="560" t="s">
        <v>10</v>
      </c>
      <c r="B65" s="560">
        <v>5</v>
      </c>
      <c r="C65" s="561">
        <v>177.54</v>
      </c>
      <c r="D65" s="561">
        <v>4</v>
      </c>
      <c r="E65" s="562">
        <v>208.78</v>
      </c>
      <c r="F65" s="562">
        <v>0</v>
      </c>
      <c r="G65" s="562">
        <f>C65+E65</f>
        <v>386.32</v>
      </c>
      <c r="H65" s="599">
        <f t="shared" ref="H65:H71" si="38">D65+F65</f>
        <v>4</v>
      </c>
      <c r="I65" s="600">
        <f t="shared" ref="I65:I71" si="39">(H65/G65*100)</f>
        <v>1.0354110581901015</v>
      </c>
      <c r="J65" s="561">
        <v>143.77000000000001</v>
      </c>
      <c r="K65" s="561">
        <v>12.68</v>
      </c>
      <c r="L65" s="600">
        <f t="shared" ref="L65:L71" si="40">(K65/J65*100)</f>
        <v>8.8196424845238912</v>
      </c>
      <c r="M65" s="561">
        <v>935.17</v>
      </c>
      <c r="N65" s="561">
        <v>49.94</v>
      </c>
      <c r="O65" s="600">
        <f t="shared" ref="O65:O71" si="41">(N65/M65*100)</f>
        <v>5.3402055241293027</v>
      </c>
      <c r="P65" s="562">
        <f>G65+J65+M65</f>
        <v>1465.26</v>
      </c>
      <c r="Q65" s="599">
        <f t="shared" ref="Q65:Q71" si="42">H65+K65+N65</f>
        <v>66.62</v>
      </c>
      <c r="R65" s="600">
        <f t="shared" ref="R65:R71" si="43">(Q65/P65*100)</f>
        <v>4.5466333619971886</v>
      </c>
      <c r="S65" s="643"/>
      <c r="T65" s="574"/>
      <c r="U65" s="574"/>
    </row>
    <row r="66" spans="1:21">
      <c r="A66" s="442" t="s">
        <v>56</v>
      </c>
      <c r="B66" s="442">
        <v>1</v>
      </c>
      <c r="C66" s="561">
        <v>55.5</v>
      </c>
      <c r="D66" s="561">
        <v>0</v>
      </c>
      <c r="E66" s="562">
        <v>190.69</v>
      </c>
      <c r="F66" s="562">
        <v>0</v>
      </c>
      <c r="G66" s="562">
        <f t="shared" ref="G66:G71" si="44">C66+E66</f>
        <v>246.19</v>
      </c>
      <c r="H66" s="599">
        <f t="shared" si="38"/>
        <v>0</v>
      </c>
      <c r="I66" s="600">
        <f t="shared" si="39"/>
        <v>0</v>
      </c>
      <c r="J66" s="561">
        <v>191.68</v>
      </c>
      <c r="K66" s="561">
        <v>0</v>
      </c>
      <c r="L66" s="600">
        <f t="shared" si="40"/>
        <v>0</v>
      </c>
      <c r="M66" s="561">
        <v>576.79</v>
      </c>
      <c r="N66" s="561">
        <v>0</v>
      </c>
      <c r="O66" s="600">
        <f t="shared" si="41"/>
        <v>0</v>
      </c>
      <c r="P66" s="562">
        <f t="shared" ref="P66:P71" si="45">G66+J66+M66</f>
        <v>1014.66</v>
      </c>
      <c r="Q66" s="599">
        <f t="shared" si="42"/>
        <v>0</v>
      </c>
      <c r="R66" s="600">
        <f t="shared" si="43"/>
        <v>0</v>
      </c>
      <c r="S66" s="643"/>
      <c r="T66" s="574"/>
      <c r="U66" s="574"/>
    </row>
    <row r="67" spans="1:21">
      <c r="A67" s="442" t="s">
        <v>19</v>
      </c>
      <c r="B67" s="442">
        <v>1</v>
      </c>
      <c r="C67" s="561">
        <v>49.5</v>
      </c>
      <c r="D67" s="561">
        <v>0</v>
      </c>
      <c r="E67" s="562">
        <v>10.01</v>
      </c>
      <c r="F67" s="562">
        <v>0</v>
      </c>
      <c r="G67" s="562">
        <f t="shared" si="44"/>
        <v>59.51</v>
      </c>
      <c r="H67" s="599">
        <f t="shared" si="38"/>
        <v>0</v>
      </c>
      <c r="I67" s="600">
        <f t="shared" si="39"/>
        <v>0</v>
      </c>
      <c r="J67" s="561">
        <v>87.45</v>
      </c>
      <c r="K67" s="561">
        <v>0</v>
      </c>
      <c r="L67" s="600">
        <f t="shared" si="40"/>
        <v>0</v>
      </c>
      <c r="M67" s="561">
        <v>397.32</v>
      </c>
      <c r="N67" s="561">
        <v>0</v>
      </c>
      <c r="O67" s="600">
        <f t="shared" si="41"/>
        <v>0</v>
      </c>
      <c r="P67" s="562">
        <f t="shared" si="45"/>
        <v>544.28</v>
      </c>
      <c r="Q67" s="599">
        <f t="shared" si="42"/>
        <v>0</v>
      </c>
      <c r="R67" s="600">
        <f t="shared" si="43"/>
        <v>0</v>
      </c>
      <c r="S67" s="643"/>
      <c r="T67" s="574"/>
      <c r="U67" s="574"/>
    </row>
    <row r="68" spans="1:21">
      <c r="A68" s="442" t="s">
        <v>502</v>
      </c>
      <c r="B68" s="442">
        <v>7</v>
      </c>
      <c r="C68" s="443">
        <f>SUM(C65:C67)</f>
        <v>282.53999999999996</v>
      </c>
      <c r="D68" s="599">
        <f>SUM(D65:D67)</f>
        <v>4</v>
      </c>
      <c r="E68" s="599">
        <f>SUM(E65:E67)</f>
        <v>409.48</v>
      </c>
      <c r="F68" s="599">
        <f>SUM(F65:F67)</f>
        <v>0</v>
      </c>
      <c r="G68" s="562">
        <f t="shared" si="44"/>
        <v>692.02</v>
      </c>
      <c r="H68" s="599">
        <f t="shared" si="38"/>
        <v>4</v>
      </c>
      <c r="I68" s="600">
        <f t="shared" si="39"/>
        <v>0.57801797635906482</v>
      </c>
      <c r="J68" s="599">
        <f>SUM(J65:J67)</f>
        <v>422.90000000000003</v>
      </c>
      <c r="K68" s="599">
        <f>SUM(K65:K67)</f>
        <v>12.68</v>
      </c>
      <c r="L68" s="600">
        <f t="shared" si="40"/>
        <v>2.9983447623551664</v>
      </c>
      <c r="M68" s="599">
        <f>SUM(M65:M67)</f>
        <v>1909.28</v>
      </c>
      <c r="N68" s="599">
        <f>SUM(N65:N67)</f>
        <v>49.94</v>
      </c>
      <c r="O68" s="600">
        <f t="shared" si="41"/>
        <v>2.6156456884270507</v>
      </c>
      <c r="P68" s="562">
        <f t="shared" si="45"/>
        <v>3024.2</v>
      </c>
      <c r="Q68" s="599">
        <f t="shared" si="42"/>
        <v>66.62</v>
      </c>
      <c r="R68" s="600">
        <f t="shared" si="43"/>
        <v>2.2028966338205147</v>
      </c>
      <c r="S68" s="229"/>
      <c r="T68" s="229"/>
      <c r="U68" s="229"/>
    </row>
    <row r="69" spans="1:21">
      <c r="A69" s="442" t="s">
        <v>115</v>
      </c>
      <c r="B69" s="442">
        <v>5</v>
      </c>
      <c r="C69" s="561">
        <v>132</v>
      </c>
      <c r="D69" s="561">
        <v>18.600000000000001</v>
      </c>
      <c r="E69" s="562">
        <v>40.21</v>
      </c>
      <c r="F69" s="562">
        <v>11.05</v>
      </c>
      <c r="G69" s="562">
        <f t="shared" si="44"/>
        <v>172.21</v>
      </c>
      <c r="H69" s="599">
        <f t="shared" si="38"/>
        <v>29.650000000000002</v>
      </c>
      <c r="I69" s="600">
        <f t="shared" si="39"/>
        <v>17.217350908774172</v>
      </c>
      <c r="J69" s="561">
        <v>11.77</v>
      </c>
      <c r="K69" s="561">
        <v>2.75</v>
      </c>
      <c r="L69" s="600">
        <f t="shared" si="40"/>
        <v>23.364485981308412</v>
      </c>
      <c r="M69" s="561">
        <v>509.14</v>
      </c>
      <c r="N69" s="561">
        <v>60.2</v>
      </c>
      <c r="O69" s="600">
        <f t="shared" si="41"/>
        <v>11.823859842086657</v>
      </c>
      <c r="P69" s="562">
        <f t="shared" si="45"/>
        <v>693.12</v>
      </c>
      <c r="Q69" s="599">
        <f t="shared" si="42"/>
        <v>92.600000000000009</v>
      </c>
      <c r="R69" s="600">
        <f t="shared" si="43"/>
        <v>13.359879963065561</v>
      </c>
      <c r="S69" s="643"/>
      <c r="T69" s="574"/>
      <c r="U69" s="574"/>
    </row>
    <row r="70" spans="1:21">
      <c r="A70" s="442" t="s">
        <v>507</v>
      </c>
      <c r="B70" s="442">
        <v>4</v>
      </c>
      <c r="C70" s="561">
        <v>16.34</v>
      </c>
      <c r="D70" s="561">
        <v>0</v>
      </c>
      <c r="E70" s="562">
        <v>371.69</v>
      </c>
      <c r="F70" s="562">
        <v>0</v>
      </c>
      <c r="G70" s="562">
        <f t="shared" si="44"/>
        <v>388.03</v>
      </c>
      <c r="H70" s="599">
        <f t="shared" si="38"/>
        <v>0</v>
      </c>
      <c r="I70" s="600">
        <f t="shared" si="39"/>
        <v>0</v>
      </c>
      <c r="J70" s="561">
        <v>23.82</v>
      </c>
      <c r="K70" s="561">
        <v>0</v>
      </c>
      <c r="L70" s="600">
        <f t="shared" si="40"/>
        <v>0</v>
      </c>
      <c r="M70" s="561">
        <v>228.31</v>
      </c>
      <c r="N70" s="561">
        <v>0</v>
      </c>
      <c r="O70" s="600">
        <f t="shared" si="41"/>
        <v>0</v>
      </c>
      <c r="P70" s="562">
        <f t="shared" si="45"/>
        <v>640.16</v>
      </c>
      <c r="Q70" s="599">
        <f t="shared" si="42"/>
        <v>0</v>
      </c>
      <c r="R70" s="600">
        <f t="shared" si="43"/>
        <v>0</v>
      </c>
      <c r="S70" s="643"/>
      <c r="T70" s="574"/>
      <c r="U70" s="574"/>
    </row>
    <row r="71" spans="1:21">
      <c r="A71" s="442" t="s">
        <v>505</v>
      </c>
      <c r="B71" s="442">
        <f>SUM(B68:B70)</f>
        <v>16</v>
      </c>
      <c r="C71" s="443">
        <f>SUM(C68:C70)</f>
        <v>430.87999999999994</v>
      </c>
      <c r="D71" s="443">
        <f t="shared" ref="D71:N71" si="46">SUM(D68:D70)</f>
        <v>22.6</v>
      </c>
      <c r="E71" s="443">
        <f t="shared" si="46"/>
        <v>821.38</v>
      </c>
      <c r="F71" s="443">
        <f t="shared" si="46"/>
        <v>11.05</v>
      </c>
      <c r="G71" s="562">
        <f t="shared" si="44"/>
        <v>1252.26</v>
      </c>
      <c r="H71" s="599">
        <f t="shared" si="38"/>
        <v>33.650000000000006</v>
      </c>
      <c r="I71" s="600">
        <f t="shared" si="39"/>
        <v>2.6871416479005963</v>
      </c>
      <c r="J71" s="443">
        <f t="shared" si="46"/>
        <v>458.49</v>
      </c>
      <c r="K71" s="443">
        <f t="shared" si="46"/>
        <v>15.43</v>
      </c>
      <c r="L71" s="600">
        <f t="shared" si="40"/>
        <v>3.3653951013108245</v>
      </c>
      <c r="M71" s="443">
        <f t="shared" si="46"/>
        <v>2646.73</v>
      </c>
      <c r="N71" s="443">
        <f t="shared" si="46"/>
        <v>110.14</v>
      </c>
      <c r="O71" s="600">
        <f t="shared" si="41"/>
        <v>4.1613613780022893</v>
      </c>
      <c r="P71" s="562">
        <f t="shared" si="45"/>
        <v>4357.4799999999996</v>
      </c>
      <c r="Q71" s="599">
        <f t="shared" si="42"/>
        <v>159.22</v>
      </c>
      <c r="R71" s="600">
        <f t="shared" si="43"/>
        <v>3.6539467765772882</v>
      </c>
      <c r="S71" s="229"/>
      <c r="T71" s="229"/>
      <c r="U71" s="229"/>
    </row>
    <row r="72" spans="1:21">
      <c r="A72" s="574"/>
      <c r="B72" s="574"/>
      <c r="C72" s="580"/>
      <c r="D72" s="567"/>
      <c r="E72" s="567"/>
      <c r="F72" s="567"/>
      <c r="G72" s="567"/>
      <c r="H72" s="567"/>
      <c r="I72" s="609"/>
      <c r="J72" s="567"/>
      <c r="K72" s="567"/>
      <c r="L72" s="609"/>
      <c r="M72" s="567"/>
      <c r="N72" s="567"/>
      <c r="O72" s="609"/>
      <c r="P72" s="567"/>
      <c r="Q72" s="567"/>
      <c r="R72" s="609"/>
    </row>
    <row r="73" spans="1:21">
      <c r="A73" s="568"/>
      <c r="B73" s="568"/>
      <c r="C73" s="611"/>
      <c r="D73" s="569"/>
      <c r="E73" s="569"/>
      <c r="F73" s="569"/>
      <c r="G73" s="564"/>
      <c r="H73" s="564"/>
      <c r="I73" s="563"/>
      <c r="J73" s="564"/>
      <c r="K73" s="564"/>
      <c r="L73" s="563"/>
      <c r="M73" s="564"/>
      <c r="N73" s="564"/>
      <c r="O73" s="563"/>
      <c r="P73" s="564"/>
      <c r="Q73" s="564"/>
      <c r="R73" s="563"/>
    </row>
    <row r="74" spans="1:21">
      <c r="A74" s="606" t="s">
        <v>537</v>
      </c>
      <c r="B74" s="1639" t="s">
        <v>401</v>
      </c>
      <c r="C74" s="1639"/>
      <c r="D74" s="1626" t="s">
        <v>541</v>
      </c>
      <c r="E74" s="1626"/>
      <c r="F74" s="1626"/>
      <c r="G74" s="1626"/>
      <c r="H74" s="1626"/>
      <c r="I74" s="1626"/>
      <c r="J74" s="1626"/>
      <c r="K74" s="1626"/>
      <c r="L74" s="1626"/>
      <c r="M74" s="1626"/>
      <c r="N74" s="567"/>
      <c r="O74" s="613"/>
      <c r="P74" s="573"/>
      <c r="Q74" s="573"/>
      <c r="R74" s="613"/>
    </row>
    <row r="75" spans="1:21">
      <c r="A75" s="1621" t="s">
        <v>343</v>
      </c>
      <c r="B75" s="1622" t="s">
        <v>501</v>
      </c>
      <c r="C75" s="1622" t="s">
        <v>484</v>
      </c>
      <c r="D75" s="1622"/>
      <c r="E75" s="1622" t="s">
        <v>485</v>
      </c>
      <c r="F75" s="1622"/>
      <c r="G75" s="1625" t="s">
        <v>486</v>
      </c>
      <c r="H75" s="1625"/>
      <c r="I75" s="1625"/>
      <c r="J75" s="1625" t="s">
        <v>487</v>
      </c>
      <c r="K75" s="1625"/>
      <c r="L75" s="1625"/>
      <c r="M75" s="1625" t="s">
        <v>488</v>
      </c>
      <c r="N75" s="1625"/>
      <c r="O75" s="1625"/>
      <c r="P75" s="1625" t="s">
        <v>489</v>
      </c>
      <c r="Q75" s="1625"/>
      <c r="R75" s="1625"/>
    </row>
    <row r="76" spans="1:21">
      <c r="A76" s="1621"/>
      <c r="B76" s="1622"/>
      <c r="C76" s="597" t="s">
        <v>530</v>
      </c>
      <c r="D76" s="441" t="s">
        <v>531</v>
      </c>
      <c r="E76" s="441" t="s">
        <v>490</v>
      </c>
      <c r="F76" s="441" t="s">
        <v>531</v>
      </c>
      <c r="G76" s="441" t="s">
        <v>490</v>
      </c>
      <c r="H76" s="441" t="s">
        <v>531</v>
      </c>
      <c r="I76" s="598" t="s">
        <v>532</v>
      </c>
      <c r="J76" s="441" t="s">
        <v>490</v>
      </c>
      <c r="K76" s="441" t="s">
        <v>531</v>
      </c>
      <c r="L76" s="598" t="s">
        <v>532</v>
      </c>
      <c r="M76" s="441" t="s">
        <v>490</v>
      </c>
      <c r="N76" s="441" t="s">
        <v>531</v>
      </c>
      <c r="O76" s="598" t="s">
        <v>532</v>
      </c>
      <c r="P76" s="441" t="s">
        <v>490</v>
      </c>
      <c r="Q76" s="441" t="s">
        <v>531</v>
      </c>
      <c r="R76" s="598" t="s">
        <v>532</v>
      </c>
    </row>
    <row r="77" spans="1:21">
      <c r="A77" s="560" t="s">
        <v>10</v>
      </c>
      <c r="B77" s="560">
        <v>1</v>
      </c>
      <c r="C77" s="561">
        <v>35.75</v>
      </c>
      <c r="D77" s="561">
        <v>0</v>
      </c>
      <c r="E77" s="562">
        <v>41.8</v>
      </c>
      <c r="F77" s="562">
        <v>0</v>
      </c>
      <c r="G77" s="562">
        <f>C77+E77</f>
        <v>77.55</v>
      </c>
      <c r="H77" s="599">
        <f t="shared" ref="H77:H79" si="47">F77+D77</f>
        <v>0</v>
      </c>
      <c r="I77" s="600">
        <f t="shared" ref="I77:I80" si="48">(H77/G77*100)</f>
        <v>0</v>
      </c>
      <c r="J77" s="561">
        <v>29.43</v>
      </c>
      <c r="K77" s="561">
        <v>0</v>
      </c>
      <c r="L77" s="600">
        <f t="shared" ref="L77:L80" si="49">(K77/J77*100)</f>
        <v>0</v>
      </c>
      <c r="M77" s="561">
        <v>187</v>
      </c>
      <c r="N77" s="561">
        <v>0</v>
      </c>
      <c r="O77" s="600">
        <f t="shared" ref="O77:O80" si="50">(N77/M77*100)</f>
        <v>0</v>
      </c>
      <c r="P77" s="562">
        <f>G77+J77+M77</f>
        <v>293.98</v>
      </c>
      <c r="Q77" s="599">
        <f t="shared" ref="Q77:Q80" si="51">H77+K77+N77</f>
        <v>0</v>
      </c>
      <c r="R77" s="600">
        <f t="shared" ref="R77:R80" si="52">(Q77/P77*100)</f>
        <v>0</v>
      </c>
    </row>
    <row r="78" spans="1:21">
      <c r="A78" s="442" t="s">
        <v>502</v>
      </c>
      <c r="B78" s="442">
        <v>1</v>
      </c>
      <c r="C78" s="443">
        <f>SUM(C77:C77)</f>
        <v>35.75</v>
      </c>
      <c r="D78" s="599">
        <v>0</v>
      </c>
      <c r="E78" s="599">
        <f>SUM(E77:E77)</f>
        <v>41.8</v>
      </c>
      <c r="F78" s="599">
        <v>0</v>
      </c>
      <c r="G78" s="562">
        <f t="shared" ref="G78:G80" si="53">C78+E78</f>
        <v>77.55</v>
      </c>
      <c r="H78" s="599">
        <f t="shared" si="47"/>
        <v>0</v>
      </c>
      <c r="I78" s="600">
        <f t="shared" si="48"/>
        <v>0</v>
      </c>
      <c r="J78" s="599">
        <f>SUM(J77:J77)</f>
        <v>29.43</v>
      </c>
      <c r="K78" s="599">
        <v>0</v>
      </c>
      <c r="L78" s="600">
        <f t="shared" si="49"/>
        <v>0</v>
      </c>
      <c r="M78" s="599">
        <f>SUM(M77:M77)</f>
        <v>187</v>
      </c>
      <c r="N78" s="599">
        <v>0</v>
      </c>
      <c r="O78" s="600">
        <f t="shared" si="50"/>
        <v>0</v>
      </c>
      <c r="P78" s="562">
        <f t="shared" ref="P78:P80" si="54">G78+J78+M78</f>
        <v>293.98</v>
      </c>
      <c r="Q78" s="599">
        <f t="shared" si="51"/>
        <v>0</v>
      </c>
      <c r="R78" s="600">
        <f t="shared" si="52"/>
        <v>0</v>
      </c>
    </row>
    <row r="79" spans="1:21">
      <c r="A79" s="442" t="s">
        <v>115</v>
      </c>
      <c r="B79" s="442">
        <v>3</v>
      </c>
      <c r="C79" s="561">
        <v>77</v>
      </c>
      <c r="D79" s="561">
        <v>11.16</v>
      </c>
      <c r="E79" s="562">
        <v>26.29</v>
      </c>
      <c r="F79" s="562">
        <v>6.63</v>
      </c>
      <c r="G79" s="562">
        <f t="shared" si="53"/>
        <v>103.28999999999999</v>
      </c>
      <c r="H79" s="599">
        <f t="shared" si="47"/>
        <v>17.79</v>
      </c>
      <c r="I79" s="600">
        <f t="shared" si="48"/>
        <v>17.22335172814406</v>
      </c>
      <c r="J79" s="561">
        <v>7.04</v>
      </c>
      <c r="K79" s="561">
        <v>1.65</v>
      </c>
      <c r="L79" s="600">
        <f t="shared" si="49"/>
        <v>23.4375</v>
      </c>
      <c r="M79" s="561">
        <v>305.47000000000003</v>
      </c>
      <c r="N79" s="561">
        <v>36.119999999999997</v>
      </c>
      <c r="O79" s="600">
        <f t="shared" si="50"/>
        <v>11.82440174157855</v>
      </c>
      <c r="P79" s="562">
        <f t="shared" si="54"/>
        <v>415.8</v>
      </c>
      <c r="Q79" s="599">
        <f t="shared" si="51"/>
        <v>55.559999999999995</v>
      </c>
      <c r="R79" s="600">
        <f t="shared" si="52"/>
        <v>13.362193362193361</v>
      </c>
    </row>
    <row r="80" spans="1:21">
      <c r="A80" s="442" t="s">
        <v>505</v>
      </c>
      <c r="B80" s="442">
        <f>SUM(B78:B79)</f>
        <v>4</v>
      </c>
      <c r="C80" s="443">
        <f>SUM(C78:C79)</f>
        <v>112.75</v>
      </c>
      <c r="D80" s="443">
        <f t="shared" ref="D80:N80" si="55">SUM(D78:D79)</f>
        <v>11.16</v>
      </c>
      <c r="E80" s="443">
        <f t="shared" si="55"/>
        <v>68.09</v>
      </c>
      <c r="F80" s="443">
        <f t="shared" si="55"/>
        <v>6.63</v>
      </c>
      <c r="G80" s="562">
        <f t="shared" si="53"/>
        <v>180.84</v>
      </c>
      <c r="H80" s="443">
        <f t="shared" si="55"/>
        <v>17.79</v>
      </c>
      <c r="I80" s="600">
        <f t="shared" si="48"/>
        <v>9.8374253483742535</v>
      </c>
      <c r="J80" s="443">
        <f t="shared" si="55"/>
        <v>36.47</v>
      </c>
      <c r="K80" s="443">
        <f t="shared" si="55"/>
        <v>1.65</v>
      </c>
      <c r="L80" s="600">
        <f t="shared" si="49"/>
        <v>4.5242665204277488</v>
      </c>
      <c r="M80" s="443">
        <f t="shared" si="55"/>
        <v>492.47</v>
      </c>
      <c r="N80" s="443">
        <f t="shared" si="55"/>
        <v>36.119999999999997</v>
      </c>
      <c r="O80" s="600">
        <f t="shared" si="50"/>
        <v>7.3344569212337802</v>
      </c>
      <c r="P80" s="562">
        <f t="shared" si="54"/>
        <v>709.78</v>
      </c>
      <c r="Q80" s="599">
        <f t="shared" si="51"/>
        <v>55.559999999999995</v>
      </c>
      <c r="R80" s="600">
        <f t="shared" si="52"/>
        <v>7.8277776212347483</v>
      </c>
    </row>
    <row r="81" spans="1:18">
      <c r="A81" s="574"/>
      <c r="B81" s="574"/>
      <c r="C81" s="580"/>
      <c r="D81" s="567"/>
      <c r="E81" s="567"/>
      <c r="F81" s="567"/>
      <c r="G81" s="567"/>
      <c r="H81" s="567"/>
      <c r="I81" s="609"/>
      <c r="J81" s="567"/>
      <c r="K81" s="567"/>
      <c r="L81" s="609"/>
      <c r="M81" s="567"/>
      <c r="N81" s="567"/>
      <c r="O81" s="609"/>
      <c r="P81" s="567"/>
      <c r="Q81" s="567"/>
      <c r="R81" s="609"/>
    </row>
    <row r="82" spans="1:18" s="741" customFormat="1">
      <c r="A82" s="574"/>
      <c r="B82" s="574"/>
      <c r="C82" s="580"/>
      <c r="D82" s="567"/>
      <c r="E82" s="567"/>
      <c r="F82" s="567"/>
      <c r="G82" s="567"/>
      <c r="H82" s="567"/>
      <c r="I82" s="609"/>
      <c r="J82" s="567"/>
      <c r="K82" s="567"/>
      <c r="L82" s="609"/>
      <c r="M82" s="567"/>
      <c r="N82" s="567"/>
      <c r="O82" s="609"/>
      <c r="P82" s="567"/>
      <c r="Q82" s="567"/>
      <c r="R82" s="609"/>
    </row>
    <row r="83" spans="1:18" s="741" customFormat="1">
      <c r="A83" s="574"/>
      <c r="B83" s="574"/>
      <c r="C83" s="580"/>
      <c r="D83" s="567"/>
      <c r="E83" s="567"/>
      <c r="F83" s="567"/>
      <c r="G83" s="567"/>
      <c r="H83" s="567"/>
      <c r="I83" s="609"/>
      <c r="J83" s="567"/>
      <c r="K83" s="567"/>
      <c r="L83" s="609"/>
      <c r="M83" s="567"/>
      <c r="N83" s="567"/>
      <c r="O83" s="609"/>
      <c r="P83" s="567"/>
      <c r="Q83" s="567"/>
      <c r="R83" s="609"/>
    </row>
    <row r="84" spans="1:18">
      <c r="A84" s="574"/>
      <c r="B84" s="574"/>
      <c r="C84" s="580"/>
      <c r="D84" s="567"/>
      <c r="E84" s="567"/>
      <c r="F84" s="567"/>
      <c r="G84" s="567"/>
      <c r="H84" s="567"/>
      <c r="I84" s="609"/>
      <c r="J84" s="567"/>
      <c r="K84" s="567"/>
      <c r="L84" s="609"/>
      <c r="M84" s="567"/>
      <c r="N84" s="567"/>
      <c r="O84" s="609"/>
      <c r="P84" s="567"/>
      <c r="Q84" s="567"/>
      <c r="R84" s="609"/>
    </row>
    <row r="85" spans="1:18" ht="15.75">
      <c r="A85" s="1628">
        <v>86</v>
      </c>
      <c r="B85" s="1628"/>
      <c r="C85" s="1628"/>
      <c r="D85" s="1628"/>
      <c r="E85" s="1628"/>
      <c r="F85" s="1628"/>
      <c r="G85" s="1628"/>
      <c r="H85" s="1628"/>
      <c r="I85" s="1628"/>
      <c r="J85" s="1628"/>
      <c r="K85" s="1628"/>
      <c r="L85" s="1628"/>
      <c r="M85" s="1628"/>
      <c r="N85" s="1628"/>
      <c r="O85" s="1628"/>
      <c r="P85" s="1628"/>
      <c r="Q85" s="1628"/>
      <c r="R85" s="1628"/>
    </row>
    <row r="86" spans="1:18">
      <c r="A86" s="606" t="s">
        <v>537</v>
      </c>
      <c r="B86" s="1639" t="s">
        <v>543</v>
      </c>
      <c r="C86" s="1639"/>
      <c r="D86" s="1626" t="s">
        <v>541</v>
      </c>
      <c r="E86" s="1626"/>
      <c r="F86" s="1626"/>
      <c r="G86" s="1626"/>
      <c r="H86" s="1626"/>
      <c r="I86" s="1626"/>
      <c r="J86" s="1626"/>
      <c r="K86" s="1626"/>
      <c r="L86" s="1626"/>
      <c r="M86" s="1626"/>
      <c r="N86" s="1626"/>
      <c r="O86" s="1626"/>
      <c r="P86" s="1626"/>
      <c r="Q86" s="1627" t="s">
        <v>315</v>
      </c>
      <c r="R86" s="1627"/>
    </row>
    <row r="87" spans="1:18">
      <c r="A87" s="1621" t="s">
        <v>500</v>
      </c>
      <c r="B87" s="546" t="s">
        <v>257</v>
      </c>
      <c r="C87" s="1622" t="s">
        <v>484</v>
      </c>
      <c r="D87" s="1622"/>
      <c r="E87" s="1622" t="s">
        <v>485</v>
      </c>
      <c r="F87" s="1622"/>
      <c r="G87" s="1625" t="s">
        <v>486</v>
      </c>
      <c r="H87" s="1625"/>
      <c r="I87" s="1625"/>
      <c r="J87" s="1625" t="s">
        <v>487</v>
      </c>
      <c r="K87" s="1625"/>
      <c r="L87" s="1625"/>
      <c r="M87" s="1625" t="s">
        <v>488</v>
      </c>
      <c r="N87" s="1625"/>
      <c r="O87" s="1625"/>
      <c r="P87" s="1625" t="s">
        <v>489</v>
      </c>
      <c r="Q87" s="1625"/>
      <c r="R87" s="1625"/>
    </row>
    <row r="88" spans="1:18">
      <c r="A88" s="1621"/>
      <c r="B88" s="614" t="s">
        <v>544</v>
      </c>
      <c r="C88" s="597" t="s">
        <v>530</v>
      </c>
      <c r="D88" s="441" t="s">
        <v>531</v>
      </c>
      <c r="E88" s="441" t="s">
        <v>490</v>
      </c>
      <c r="F88" s="441" t="s">
        <v>531</v>
      </c>
      <c r="G88" s="441" t="s">
        <v>490</v>
      </c>
      <c r="H88" s="441" t="s">
        <v>531</v>
      </c>
      <c r="I88" s="598" t="s">
        <v>532</v>
      </c>
      <c r="J88" s="441" t="s">
        <v>490</v>
      </c>
      <c r="K88" s="441" t="s">
        <v>531</v>
      </c>
      <c r="L88" s="598" t="s">
        <v>532</v>
      </c>
      <c r="M88" s="441" t="s">
        <v>490</v>
      </c>
      <c r="N88" s="441" t="s">
        <v>531</v>
      </c>
      <c r="O88" s="598" t="s">
        <v>532</v>
      </c>
      <c r="P88" s="441" t="s">
        <v>490</v>
      </c>
      <c r="Q88" s="441" t="s">
        <v>531</v>
      </c>
      <c r="R88" s="598" t="s">
        <v>532</v>
      </c>
    </row>
    <row r="89" spans="1:18">
      <c r="A89" s="560" t="s">
        <v>10</v>
      </c>
      <c r="B89" s="560">
        <v>2</v>
      </c>
      <c r="C89" s="561">
        <v>71.06</v>
      </c>
      <c r="D89" s="561">
        <v>0</v>
      </c>
      <c r="E89" s="562">
        <v>83.49</v>
      </c>
      <c r="F89" s="562">
        <v>0</v>
      </c>
      <c r="G89" s="562">
        <f>C89+E89</f>
        <v>154.55000000000001</v>
      </c>
      <c r="H89" s="562">
        <f>F89+D89</f>
        <v>0</v>
      </c>
      <c r="I89" s="600">
        <f>(H89/G89*100)</f>
        <v>0</v>
      </c>
      <c r="J89" s="561">
        <v>58.85</v>
      </c>
      <c r="K89" s="561">
        <v>0</v>
      </c>
      <c r="L89" s="600">
        <f>(K89/J89*100)</f>
        <v>0</v>
      </c>
      <c r="M89" s="561">
        <v>374</v>
      </c>
      <c r="N89" s="561">
        <v>26.13</v>
      </c>
      <c r="O89" s="600">
        <f>(N89/M89*100)</f>
        <v>6.9866310160427814</v>
      </c>
      <c r="P89" s="562">
        <f>G89+J89+M89</f>
        <v>587.4</v>
      </c>
      <c r="Q89" s="599">
        <f>H89+K89+N89</f>
        <v>26.13</v>
      </c>
      <c r="R89" s="600">
        <f>(Q89/P89*100)</f>
        <v>4.4484167517875388</v>
      </c>
    </row>
    <row r="90" spans="1:18">
      <c r="A90" s="442" t="s">
        <v>502</v>
      </c>
      <c r="B90" s="442">
        <f>B89</f>
        <v>2</v>
      </c>
      <c r="C90" s="600">
        <f t="shared" ref="C90:O90" si="56">C89</f>
        <v>71.06</v>
      </c>
      <c r="D90" s="600">
        <f t="shared" si="56"/>
        <v>0</v>
      </c>
      <c r="E90" s="600">
        <f t="shared" si="56"/>
        <v>83.49</v>
      </c>
      <c r="F90" s="600">
        <f t="shared" si="56"/>
        <v>0</v>
      </c>
      <c r="G90" s="562">
        <f t="shared" ref="G90:G93" si="57">C90+E90</f>
        <v>154.55000000000001</v>
      </c>
      <c r="H90" s="562">
        <f t="shared" ref="H90:H93" si="58">F90+D90</f>
        <v>0</v>
      </c>
      <c r="I90" s="600">
        <f t="shared" si="56"/>
        <v>0</v>
      </c>
      <c r="J90" s="600">
        <f t="shared" si="56"/>
        <v>58.85</v>
      </c>
      <c r="K90" s="600">
        <f t="shared" si="56"/>
        <v>0</v>
      </c>
      <c r="L90" s="600">
        <f t="shared" si="56"/>
        <v>0</v>
      </c>
      <c r="M90" s="600">
        <f t="shared" si="56"/>
        <v>374</v>
      </c>
      <c r="N90" s="600">
        <f t="shared" si="56"/>
        <v>26.13</v>
      </c>
      <c r="O90" s="600">
        <f t="shared" si="56"/>
        <v>6.9866310160427814</v>
      </c>
      <c r="P90" s="562">
        <f t="shared" ref="P90:P93" si="59">G90+J90+M90</f>
        <v>587.4</v>
      </c>
      <c r="Q90" s="599">
        <f t="shared" ref="Q90:Q93" si="60">H90+K90+N90</f>
        <v>26.13</v>
      </c>
      <c r="R90" s="600">
        <f t="shared" ref="R90:R93" si="61">(Q90/P90*100)</f>
        <v>4.4484167517875388</v>
      </c>
    </row>
    <row r="91" spans="1:18">
      <c r="A91" s="442" t="s">
        <v>115</v>
      </c>
      <c r="B91" s="442">
        <v>2</v>
      </c>
      <c r="C91" s="561">
        <v>50.6</v>
      </c>
      <c r="D91" s="561">
        <v>7.44</v>
      </c>
      <c r="E91" s="562">
        <v>41.95</v>
      </c>
      <c r="F91" s="562">
        <v>4.42</v>
      </c>
      <c r="G91" s="562">
        <f t="shared" si="57"/>
        <v>92.550000000000011</v>
      </c>
      <c r="H91" s="562">
        <f t="shared" si="58"/>
        <v>11.86</v>
      </c>
      <c r="I91" s="600">
        <f t="shared" ref="I91:I92" si="62">(H91/G91*100)</f>
        <v>12.814694759589409</v>
      </c>
      <c r="J91" s="561">
        <v>4.68</v>
      </c>
      <c r="K91" s="561">
        <v>1.1000000000000001</v>
      </c>
      <c r="L91" s="600">
        <f t="shared" ref="L91:L92" si="63">(K91/J91*100)</f>
        <v>23.504273504273506</v>
      </c>
      <c r="M91" s="561">
        <v>203.61</v>
      </c>
      <c r="N91" s="561">
        <v>24.08</v>
      </c>
      <c r="O91" s="600">
        <f t="shared" ref="O91:O92" si="64">(N91/M91*100)</f>
        <v>11.826531113403073</v>
      </c>
      <c r="P91" s="562">
        <f t="shared" si="59"/>
        <v>300.84000000000003</v>
      </c>
      <c r="Q91" s="599">
        <f t="shared" si="60"/>
        <v>37.04</v>
      </c>
      <c r="R91" s="600">
        <f t="shared" si="61"/>
        <v>12.312192527589415</v>
      </c>
    </row>
    <row r="92" spans="1:18">
      <c r="A92" s="442" t="s">
        <v>507</v>
      </c>
      <c r="B92" s="442">
        <v>3</v>
      </c>
      <c r="C92" s="561">
        <v>12.27</v>
      </c>
      <c r="D92" s="561">
        <v>0</v>
      </c>
      <c r="E92" s="562">
        <v>255.11</v>
      </c>
      <c r="F92" s="562">
        <v>0</v>
      </c>
      <c r="G92" s="562">
        <f t="shared" si="57"/>
        <v>267.38</v>
      </c>
      <c r="H92" s="562">
        <f t="shared" si="58"/>
        <v>0</v>
      </c>
      <c r="I92" s="600">
        <f t="shared" si="62"/>
        <v>0</v>
      </c>
      <c r="J92" s="561">
        <v>17.82</v>
      </c>
      <c r="K92" s="561">
        <v>0</v>
      </c>
      <c r="L92" s="600">
        <f t="shared" si="63"/>
        <v>0</v>
      </c>
      <c r="M92" s="561">
        <v>171.22</v>
      </c>
      <c r="N92" s="561">
        <v>0</v>
      </c>
      <c r="O92" s="600">
        <f t="shared" si="64"/>
        <v>0</v>
      </c>
      <c r="P92" s="562">
        <f t="shared" si="59"/>
        <v>456.41999999999996</v>
      </c>
      <c r="Q92" s="599">
        <f t="shared" si="60"/>
        <v>0</v>
      </c>
      <c r="R92" s="600">
        <f t="shared" si="61"/>
        <v>0</v>
      </c>
    </row>
    <row r="93" spans="1:18">
      <c r="A93" s="442" t="s">
        <v>505</v>
      </c>
      <c r="B93" s="442">
        <f>SUM(B90:B92)</f>
        <v>7</v>
      </c>
      <c r="C93" s="600">
        <f t="shared" ref="C93:O93" si="65">SUM(C90:C92)</f>
        <v>133.93</v>
      </c>
      <c r="D93" s="600">
        <f t="shared" si="65"/>
        <v>7.44</v>
      </c>
      <c r="E93" s="600">
        <f t="shared" si="65"/>
        <v>380.55</v>
      </c>
      <c r="F93" s="600">
        <f t="shared" si="65"/>
        <v>4.42</v>
      </c>
      <c r="G93" s="562">
        <f t="shared" si="57"/>
        <v>514.48</v>
      </c>
      <c r="H93" s="562">
        <f t="shared" si="58"/>
        <v>11.86</v>
      </c>
      <c r="I93" s="600">
        <f t="shared" si="65"/>
        <v>12.814694759589409</v>
      </c>
      <c r="J93" s="600">
        <f t="shared" si="65"/>
        <v>81.349999999999994</v>
      </c>
      <c r="K93" s="600">
        <f t="shared" si="65"/>
        <v>1.1000000000000001</v>
      </c>
      <c r="L93" s="600">
        <f t="shared" si="65"/>
        <v>23.504273504273506</v>
      </c>
      <c r="M93" s="600">
        <f t="shared" si="65"/>
        <v>748.83</v>
      </c>
      <c r="N93" s="600">
        <f t="shared" si="65"/>
        <v>50.209999999999994</v>
      </c>
      <c r="O93" s="600">
        <f t="shared" si="65"/>
        <v>18.813162129445853</v>
      </c>
      <c r="P93" s="562">
        <f t="shared" si="59"/>
        <v>1344.66</v>
      </c>
      <c r="Q93" s="599">
        <f t="shared" si="60"/>
        <v>63.169999999999995</v>
      </c>
      <c r="R93" s="600">
        <f t="shared" si="61"/>
        <v>4.6978418336233689</v>
      </c>
    </row>
    <row r="94" spans="1:18">
      <c r="A94" s="568"/>
      <c r="B94" s="568"/>
      <c r="C94" s="611"/>
      <c r="D94" s="569"/>
      <c r="E94" s="569"/>
      <c r="F94" s="569"/>
      <c r="G94" s="570"/>
      <c r="H94" s="570"/>
      <c r="I94" s="612"/>
      <c r="J94" s="570"/>
      <c r="K94" s="570"/>
      <c r="L94" s="612"/>
      <c r="M94" s="570"/>
      <c r="N94" s="570"/>
      <c r="O94" s="612"/>
      <c r="P94" s="570"/>
      <c r="Q94" s="570"/>
      <c r="R94" s="612"/>
    </row>
    <row r="95" spans="1:18">
      <c r="A95" s="606" t="s">
        <v>537</v>
      </c>
      <c r="B95" s="1639" t="s">
        <v>545</v>
      </c>
      <c r="C95" s="1639"/>
      <c r="D95" s="1626" t="s">
        <v>546</v>
      </c>
      <c r="E95" s="1626"/>
      <c r="F95" s="1626"/>
      <c r="G95" s="1626"/>
      <c r="H95" s="1626"/>
      <c r="I95" s="1626"/>
      <c r="J95" s="1626"/>
      <c r="K95" s="1626"/>
      <c r="L95" s="1626"/>
      <c r="M95" s="1626"/>
      <c r="N95" s="1626"/>
      <c r="O95" s="1626"/>
      <c r="P95" s="1626"/>
      <c r="Q95" s="1626"/>
      <c r="R95" s="1626"/>
    </row>
    <row r="96" spans="1:18">
      <c r="A96" s="1621" t="s">
        <v>500</v>
      </c>
      <c r="B96" s="1622" t="s">
        <v>501</v>
      </c>
      <c r="C96" s="1622" t="s">
        <v>484</v>
      </c>
      <c r="D96" s="1622"/>
      <c r="E96" s="1622" t="s">
        <v>485</v>
      </c>
      <c r="F96" s="1622"/>
      <c r="G96" s="1625" t="s">
        <v>486</v>
      </c>
      <c r="H96" s="1625"/>
      <c r="I96" s="1625"/>
      <c r="J96" s="1625" t="s">
        <v>487</v>
      </c>
      <c r="K96" s="1625"/>
      <c r="L96" s="1625"/>
      <c r="M96" s="1625" t="s">
        <v>488</v>
      </c>
      <c r="N96" s="1625"/>
      <c r="O96" s="1625"/>
      <c r="P96" s="1625" t="s">
        <v>489</v>
      </c>
      <c r="Q96" s="1625"/>
      <c r="R96" s="1625"/>
    </row>
    <row r="97" spans="1:18">
      <c r="A97" s="1621"/>
      <c r="B97" s="1622"/>
      <c r="C97" s="597" t="s">
        <v>530</v>
      </c>
      <c r="D97" s="441" t="s">
        <v>531</v>
      </c>
      <c r="E97" s="441" t="s">
        <v>490</v>
      </c>
      <c r="F97" s="441" t="s">
        <v>531</v>
      </c>
      <c r="G97" s="441" t="s">
        <v>490</v>
      </c>
      <c r="H97" s="441" t="s">
        <v>531</v>
      </c>
      <c r="I97" s="598" t="s">
        <v>532</v>
      </c>
      <c r="J97" s="441" t="s">
        <v>490</v>
      </c>
      <c r="K97" s="441" t="s">
        <v>531</v>
      </c>
      <c r="L97" s="598" t="s">
        <v>532</v>
      </c>
      <c r="M97" s="441" t="s">
        <v>490</v>
      </c>
      <c r="N97" s="441" t="s">
        <v>531</v>
      </c>
      <c r="O97" s="598" t="s">
        <v>532</v>
      </c>
      <c r="P97" s="441" t="s">
        <v>490</v>
      </c>
      <c r="Q97" s="441" t="s">
        <v>531</v>
      </c>
      <c r="R97" s="598" t="s">
        <v>532</v>
      </c>
    </row>
    <row r="98" spans="1:18">
      <c r="A98" s="560" t="s">
        <v>10</v>
      </c>
      <c r="B98" s="560">
        <v>1</v>
      </c>
      <c r="C98" s="561">
        <v>35.75</v>
      </c>
      <c r="D98" s="561">
        <v>0</v>
      </c>
      <c r="E98" s="562">
        <v>41.8</v>
      </c>
      <c r="F98" s="562">
        <v>0</v>
      </c>
      <c r="G98" s="562">
        <f>C98+E98</f>
        <v>77.55</v>
      </c>
      <c r="H98" s="562">
        <f>F98+D98</f>
        <v>0</v>
      </c>
      <c r="I98" s="600">
        <f>(H98/G98*100)</f>
        <v>0</v>
      </c>
      <c r="J98" s="561">
        <v>29.43</v>
      </c>
      <c r="K98" s="561">
        <v>0</v>
      </c>
      <c r="L98" s="600">
        <f>(K98/J98*100)</f>
        <v>0</v>
      </c>
      <c r="M98" s="561">
        <v>187</v>
      </c>
      <c r="N98" s="561">
        <v>0</v>
      </c>
      <c r="O98" s="600">
        <f>(N98/M98*100)</f>
        <v>0</v>
      </c>
      <c r="P98" s="562">
        <f>G98+J98+M98</f>
        <v>293.98</v>
      </c>
      <c r="Q98" s="599">
        <f t="shared" ref="Q98:Q101" si="66">H98+K98+N98</f>
        <v>0</v>
      </c>
      <c r="R98" s="600">
        <f>(Q98/P98*100)</f>
        <v>0</v>
      </c>
    </row>
    <row r="99" spans="1:18">
      <c r="A99" s="442" t="s">
        <v>502</v>
      </c>
      <c r="B99" s="442">
        <v>1</v>
      </c>
      <c r="C99" s="443">
        <f>SUM(C98)</f>
        <v>35.75</v>
      </c>
      <c r="D99" s="599">
        <v>0</v>
      </c>
      <c r="E99" s="599">
        <f>SUM(E98)</f>
        <v>41.8</v>
      </c>
      <c r="F99" s="599">
        <f>SUM(F98)</f>
        <v>0</v>
      </c>
      <c r="G99" s="562">
        <f t="shared" ref="G99:G101" si="67">C99+E99</f>
        <v>77.55</v>
      </c>
      <c r="H99" s="562">
        <f t="shared" ref="H99:H101" si="68">F99+D99</f>
        <v>0</v>
      </c>
      <c r="I99" s="600">
        <f>(H99/G99*100)</f>
        <v>0</v>
      </c>
      <c r="J99" s="599">
        <f>SUM(J98)</f>
        <v>29.43</v>
      </c>
      <c r="K99" s="599">
        <v>0</v>
      </c>
      <c r="L99" s="600">
        <f>(K99/J99*100)</f>
        <v>0</v>
      </c>
      <c r="M99" s="599">
        <f>SUM(M98)</f>
        <v>187</v>
      </c>
      <c r="N99" s="599">
        <f>SUM(N98)</f>
        <v>0</v>
      </c>
      <c r="O99" s="600">
        <f>(N99/M99*100)</f>
        <v>0</v>
      </c>
      <c r="P99" s="562">
        <f t="shared" ref="P99:P101" si="69">G99+J99+M99</f>
        <v>293.98</v>
      </c>
      <c r="Q99" s="599">
        <f t="shared" si="66"/>
        <v>0</v>
      </c>
      <c r="R99" s="600">
        <f>(Q99/P99*100)</f>
        <v>0</v>
      </c>
    </row>
    <row r="100" spans="1:18">
      <c r="A100" s="442" t="s">
        <v>507</v>
      </c>
      <c r="B100" s="442">
        <v>1</v>
      </c>
      <c r="C100" s="561">
        <v>4.07</v>
      </c>
      <c r="D100" s="561">
        <v>0</v>
      </c>
      <c r="E100" s="562">
        <v>92.95</v>
      </c>
      <c r="F100" s="562">
        <v>0</v>
      </c>
      <c r="G100" s="562">
        <f t="shared" si="67"/>
        <v>97.02000000000001</v>
      </c>
      <c r="H100" s="562">
        <f t="shared" si="68"/>
        <v>0</v>
      </c>
      <c r="I100" s="600">
        <f>(H100/G100*100)</f>
        <v>0</v>
      </c>
      <c r="J100" s="561">
        <v>6.05</v>
      </c>
      <c r="K100" s="561">
        <v>0</v>
      </c>
      <c r="L100" s="600">
        <f>(K100/J100*100)</f>
        <v>0</v>
      </c>
      <c r="M100" s="561">
        <v>57.2</v>
      </c>
      <c r="N100" s="561">
        <v>0</v>
      </c>
      <c r="O100" s="600">
        <f>(N100/M100*100)</f>
        <v>0</v>
      </c>
      <c r="P100" s="562">
        <f t="shared" si="69"/>
        <v>160.27000000000001</v>
      </c>
      <c r="Q100" s="599">
        <f t="shared" si="66"/>
        <v>0</v>
      </c>
      <c r="R100" s="600">
        <f>(Q100/P100*100)</f>
        <v>0</v>
      </c>
    </row>
    <row r="101" spans="1:18">
      <c r="A101" s="442" t="s">
        <v>505</v>
      </c>
      <c r="B101" s="442">
        <v>2</v>
      </c>
      <c r="C101" s="443">
        <f>SUM(C99:C100)</f>
        <v>39.82</v>
      </c>
      <c r="D101" s="443">
        <f t="shared" ref="D101:R101" si="70">SUM(D99:D100)</f>
        <v>0</v>
      </c>
      <c r="E101" s="443">
        <f t="shared" si="70"/>
        <v>134.75</v>
      </c>
      <c r="F101" s="443">
        <f t="shared" si="70"/>
        <v>0</v>
      </c>
      <c r="G101" s="562">
        <f t="shared" si="67"/>
        <v>174.57</v>
      </c>
      <c r="H101" s="562">
        <f t="shared" si="68"/>
        <v>0</v>
      </c>
      <c r="I101" s="443">
        <f t="shared" si="70"/>
        <v>0</v>
      </c>
      <c r="J101" s="443">
        <f t="shared" si="70"/>
        <v>35.479999999999997</v>
      </c>
      <c r="K101" s="443">
        <f t="shared" si="70"/>
        <v>0</v>
      </c>
      <c r="L101" s="443">
        <f t="shared" si="70"/>
        <v>0</v>
      </c>
      <c r="M101" s="443">
        <f t="shared" si="70"/>
        <v>244.2</v>
      </c>
      <c r="N101" s="443">
        <f t="shared" si="70"/>
        <v>0</v>
      </c>
      <c r="O101" s="443">
        <f t="shared" si="70"/>
        <v>0</v>
      </c>
      <c r="P101" s="562">
        <f t="shared" si="69"/>
        <v>454.25</v>
      </c>
      <c r="Q101" s="599">
        <f t="shared" si="66"/>
        <v>0</v>
      </c>
      <c r="R101" s="443">
        <f t="shared" si="70"/>
        <v>0</v>
      </c>
    </row>
    <row r="102" spans="1:18">
      <c r="A102" s="568"/>
      <c r="B102" s="568"/>
      <c r="C102" s="611"/>
      <c r="D102" s="569"/>
      <c r="E102" s="569"/>
      <c r="F102" s="569"/>
      <c r="G102" s="564"/>
      <c r="H102" s="564"/>
      <c r="I102" s="563"/>
      <c r="J102" s="564"/>
      <c r="K102" s="564"/>
      <c r="L102" s="563"/>
      <c r="M102" s="564"/>
      <c r="N102" s="579"/>
      <c r="O102" s="563"/>
      <c r="P102" s="564"/>
      <c r="Q102" s="564"/>
      <c r="R102" s="563"/>
    </row>
    <row r="103" spans="1:18">
      <c r="A103" s="606" t="s">
        <v>537</v>
      </c>
      <c r="B103" s="1640" t="s">
        <v>547</v>
      </c>
      <c r="C103" s="1640"/>
      <c r="D103" s="1640"/>
      <c r="E103" s="1626" t="s">
        <v>546</v>
      </c>
      <c r="F103" s="1626"/>
      <c r="G103" s="1626"/>
      <c r="H103" s="1626"/>
      <c r="I103" s="1626"/>
      <c r="J103" s="1626"/>
      <c r="K103" s="1626"/>
      <c r="L103" s="1626"/>
      <c r="M103" s="1626"/>
      <c r="N103" s="1626"/>
      <c r="O103" s="1626"/>
      <c r="P103" s="1626"/>
      <c r="Q103" s="1626"/>
      <c r="R103" s="1626"/>
    </row>
    <row r="104" spans="1:18">
      <c r="A104" s="1621" t="s">
        <v>343</v>
      </c>
      <c r="B104" s="1622" t="s">
        <v>501</v>
      </c>
      <c r="C104" s="1622" t="s">
        <v>484</v>
      </c>
      <c r="D104" s="1622"/>
      <c r="E104" s="1622" t="s">
        <v>485</v>
      </c>
      <c r="F104" s="1622"/>
      <c r="G104" s="1625" t="s">
        <v>486</v>
      </c>
      <c r="H104" s="1625"/>
      <c r="I104" s="1625"/>
      <c r="J104" s="1625" t="s">
        <v>487</v>
      </c>
      <c r="K104" s="1625"/>
      <c r="L104" s="1625"/>
      <c r="M104" s="1625" t="s">
        <v>488</v>
      </c>
      <c r="N104" s="1625"/>
      <c r="O104" s="1625"/>
      <c r="P104" s="1625" t="s">
        <v>489</v>
      </c>
      <c r="Q104" s="1625"/>
      <c r="R104" s="1625"/>
    </row>
    <row r="105" spans="1:18">
      <c r="A105" s="1621"/>
      <c r="B105" s="1622"/>
      <c r="C105" s="597" t="s">
        <v>530</v>
      </c>
      <c r="D105" s="441" t="s">
        <v>531</v>
      </c>
      <c r="E105" s="441" t="s">
        <v>490</v>
      </c>
      <c r="F105" s="441" t="s">
        <v>531</v>
      </c>
      <c r="G105" s="441" t="s">
        <v>490</v>
      </c>
      <c r="H105" s="441" t="s">
        <v>531</v>
      </c>
      <c r="I105" s="598" t="s">
        <v>532</v>
      </c>
      <c r="J105" s="441" t="s">
        <v>490</v>
      </c>
      <c r="K105" s="441" t="s">
        <v>531</v>
      </c>
      <c r="L105" s="598" t="s">
        <v>532</v>
      </c>
      <c r="M105" s="441" t="s">
        <v>490</v>
      </c>
      <c r="N105" s="441" t="s">
        <v>531</v>
      </c>
      <c r="O105" s="598" t="s">
        <v>532</v>
      </c>
      <c r="P105" s="441" t="s">
        <v>490</v>
      </c>
      <c r="Q105" s="441" t="s">
        <v>531</v>
      </c>
      <c r="R105" s="598" t="s">
        <v>532</v>
      </c>
    </row>
    <row r="106" spans="1:18">
      <c r="A106" s="560" t="s">
        <v>10</v>
      </c>
      <c r="B106" s="560">
        <v>1</v>
      </c>
      <c r="C106" s="561">
        <v>35.75</v>
      </c>
      <c r="D106" s="561">
        <v>5.17</v>
      </c>
      <c r="E106" s="562">
        <v>41.8</v>
      </c>
      <c r="F106" s="562">
        <v>0</v>
      </c>
      <c r="G106" s="562">
        <f>C106+E106</f>
        <v>77.55</v>
      </c>
      <c r="H106" s="599">
        <f t="shared" ref="H106:H112" si="71">F106+D106</f>
        <v>5.17</v>
      </c>
      <c r="I106" s="600">
        <f t="shared" ref="I106:I112" si="72">(H106/G106*100)</f>
        <v>6.666666666666667</v>
      </c>
      <c r="J106" s="561">
        <v>29.37</v>
      </c>
      <c r="K106" s="561">
        <v>0</v>
      </c>
      <c r="L106" s="600">
        <f t="shared" ref="L106:L112" si="73">(K106/J106*100)</f>
        <v>0</v>
      </c>
      <c r="M106" s="561">
        <v>297</v>
      </c>
      <c r="N106" s="561">
        <v>0</v>
      </c>
      <c r="O106" s="600">
        <f t="shared" ref="O106:O112" si="74">(N106/M106*100)</f>
        <v>0</v>
      </c>
      <c r="P106" s="562">
        <f>G106+J106+M106</f>
        <v>403.92</v>
      </c>
      <c r="Q106" s="599">
        <f t="shared" ref="Q106:Q112" si="75">H106+K106+N106</f>
        <v>5.17</v>
      </c>
      <c r="R106" s="600">
        <f t="shared" ref="R106:R112" si="76">(Q106/P106*100)</f>
        <v>1.2799564270152504</v>
      </c>
    </row>
    <row r="107" spans="1:18">
      <c r="A107" s="442" t="s">
        <v>26</v>
      </c>
      <c r="B107" s="442">
        <v>1</v>
      </c>
      <c r="C107" s="561">
        <v>16.5</v>
      </c>
      <c r="D107" s="561">
        <v>0</v>
      </c>
      <c r="E107" s="562">
        <v>0</v>
      </c>
      <c r="F107" s="562">
        <v>0</v>
      </c>
      <c r="G107" s="562">
        <f t="shared" ref="G107:G112" si="77">C107+E107</f>
        <v>16.5</v>
      </c>
      <c r="H107" s="599">
        <f t="shared" si="71"/>
        <v>0</v>
      </c>
      <c r="I107" s="600">
        <f t="shared" si="72"/>
        <v>0</v>
      </c>
      <c r="J107" s="561">
        <v>51.54</v>
      </c>
      <c r="K107" s="561">
        <v>5.01</v>
      </c>
      <c r="L107" s="600">
        <f t="shared" si="73"/>
        <v>9.720605355064027</v>
      </c>
      <c r="M107" s="561">
        <v>7.15</v>
      </c>
      <c r="N107" s="561">
        <v>0</v>
      </c>
      <c r="O107" s="600">
        <f t="shared" si="74"/>
        <v>0</v>
      </c>
      <c r="P107" s="562">
        <f t="shared" ref="P107:P112" si="78">G107+J107+M107</f>
        <v>75.19</v>
      </c>
      <c r="Q107" s="599">
        <f t="shared" si="75"/>
        <v>5.01</v>
      </c>
      <c r="R107" s="600">
        <f t="shared" si="76"/>
        <v>6.6631200957574146</v>
      </c>
    </row>
    <row r="108" spans="1:18">
      <c r="A108" s="442" t="s">
        <v>32</v>
      </c>
      <c r="B108" s="442">
        <v>1</v>
      </c>
      <c r="C108" s="561">
        <v>51.21</v>
      </c>
      <c r="D108" s="561">
        <v>0</v>
      </c>
      <c r="E108" s="562">
        <v>12.1</v>
      </c>
      <c r="F108" s="562">
        <v>0</v>
      </c>
      <c r="G108" s="562">
        <f t="shared" si="77"/>
        <v>63.31</v>
      </c>
      <c r="H108" s="599">
        <f t="shared" si="71"/>
        <v>0</v>
      </c>
      <c r="I108" s="600">
        <f t="shared" si="72"/>
        <v>0</v>
      </c>
      <c r="J108" s="561">
        <v>11</v>
      </c>
      <c r="K108" s="561">
        <v>0</v>
      </c>
      <c r="L108" s="600">
        <f t="shared" si="73"/>
        <v>0</v>
      </c>
      <c r="M108" s="561">
        <v>402.77</v>
      </c>
      <c r="N108" s="561">
        <v>37.229999999999997</v>
      </c>
      <c r="O108" s="600">
        <f t="shared" si="74"/>
        <v>9.2434888397844919</v>
      </c>
      <c r="P108" s="562">
        <f t="shared" si="78"/>
        <v>477.08</v>
      </c>
      <c r="Q108" s="599">
        <f t="shared" si="75"/>
        <v>37.229999999999997</v>
      </c>
      <c r="R108" s="600">
        <f t="shared" si="76"/>
        <v>7.8037226460970901</v>
      </c>
    </row>
    <row r="109" spans="1:18">
      <c r="A109" s="442" t="s">
        <v>502</v>
      </c>
      <c r="B109" s="442">
        <f>SUM(B106:B108)</f>
        <v>3</v>
      </c>
      <c r="C109" s="442">
        <f t="shared" ref="C109:N109" si="79">SUM(C106:C108)</f>
        <v>103.46000000000001</v>
      </c>
      <c r="D109" s="442">
        <f t="shared" si="79"/>
        <v>5.17</v>
      </c>
      <c r="E109" s="442">
        <f t="shared" si="79"/>
        <v>53.9</v>
      </c>
      <c r="F109" s="600">
        <f t="shared" si="79"/>
        <v>0</v>
      </c>
      <c r="G109" s="562">
        <f t="shared" si="77"/>
        <v>157.36000000000001</v>
      </c>
      <c r="H109" s="599">
        <f t="shared" si="71"/>
        <v>5.17</v>
      </c>
      <c r="I109" s="600">
        <f t="shared" si="72"/>
        <v>3.2854600915099135</v>
      </c>
      <c r="J109" s="442">
        <f t="shared" si="79"/>
        <v>91.91</v>
      </c>
      <c r="K109" s="442">
        <f t="shared" si="79"/>
        <v>5.01</v>
      </c>
      <c r="L109" s="600">
        <f t="shared" si="73"/>
        <v>5.4509846589054511</v>
      </c>
      <c r="M109" s="442">
        <f t="shared" si="79"/>
        <v>706.92</v>
      </c>
      <c r="N109" s="442">
        <f t="shared" si="79"/>
        <v>37.229999999999997</v>
      </c>
      <c r="O109" s="600">
        <f t="shared" si="74"/>
        <v>5.2665082328976407</v>
      </c>
      <c r="P109" s="562">
        <f t="shared" si="78"/>
        <v>956.18999999999994</v>
      </c>
      <c r="Q109" s="599">
        <f t="shared" si="75"/>
        <v>47.41</v>
      </c>
      <c r="R109" s="600">
        <f t="shared" si="76"/>
        <v>4.9582196007069719</v>
      </c>
    </row>
    <row r="110" spans="1:18">
      <c r="A110" s="442" t="s">
        <v>115</v>
      </c>
      <c r="B110" s="442">
        <v>1</v>
      </c>
      <c r="C110" s="561">
        <v>24.2</v>
      </c>
      <c r="D110" s="561">
        <v>3.72</v>
      </c>
      <c r="E110" s="562">
        <v>10.23</v>
      </c>
      <c r="F110" s="562">
        <v>2.21</v>
      </c>
      <c r="G110" s="562">
        <f t="shared" si="77"/>
        <v>34.43</v>
      </c>
      <c r="H110" s="599">
        <f t="shared" si="71"/>
        <v>5.93</v>
      </c>
      <c r="I110" s="600">
        <f t="shared" si="72"/>
        <v>17.22335172814406</v>
      </c>
      <c r="J110" s="561">
        <v>2.37</v>
      </c>
      <c r="K110" s="561">
        <v>0.55000000000000004</v>
      </c>
      <c r="L110" s="600">
        <f t="shared" si="73"/>
        <v>23.206751054852319</v>
      </c>
      <c r="M110" s="561">
        <v>101.81</v>
      </c>
      <c r="N110" s="561">
        <v>12.04</v>
      </c>
      <c r="O110" s="600">
        <f t="shared" si="74"/>
        <v>11.825950299577643</v>
      </c>
      <c r="P110" s="562">
        <f t="shared" si="78"/>
        <v>138.61000000000001</v>
      </c>
      <c r="Q110" s="599">
        <f t="shared" si="75"/>
        <v>18.52</v>
      </c>
      <c r="R110" s="600">
        <f t="shared" si="76"/>
        <v>13.36122934853185</v>
      </c>
    </row>
    <row r="111" spans="1:18">
      <c r="A111" s="442" t="s">
        <v>507</v>
      </c>
      <c r="B111" s="442">
        <v>2</v>
      </c>
      <c r="C111" s="561">
        <v>8.1999999999999993</v>
      </c>
      <c r="D111" s="561">
        <v>0</v>
      </c>
      <c r="E111" s="562">
        <v>185.9</v>
      </c>
      <c r="F111" s="562">
        <v>0</v>
      </c>
      <c r="G111" s="562">
        <f t="shared" si="77"/>
        <v>194.1</v>
      </c>
      <c r="H111" s="599">
        <f t="shared" si="71"/>
        <v>0</v>
      </c>
      <c r="I111" s="600">
        <f t="shared" si="72"/>
        <v>0</v>
      </c>
      <c r="J111" s="561">
        <v>11.88</v>
      </c>
      <c r="K111" s="561">
        <v>0</v>
      </c>
      <c r="L111" s="600">
        <f t="shared" si="73"/>
        <v>0</v>
      </c>
      <c r="M111" s="561">
        <v>114.18</v>
      </c>
      <c r="N111" s="561">
        <v>0</v>
      </c>
      <c r="O111" s="600">
        <f t="shared" si="74"/>
        <v>0</v>
      </c>
      <c r="P111" s="562">
        <f t="shared" si="78"/>
        <v>320.15999999999997</v>
      </c>
      <c r="Q111" s="599">
        <f t="shared" si="75"/>
        <v>0</v>
      </c>
      <c r="R111" s="600">
        <f t="shared" si="76"/>
        <v>0</v>
      </c>
    </row>
    <row r="112" spans="1:18">
      <c r="A112" s="442" t="s">
        <v>505</v>
      </c>
      <c r="B112" s="442">
        <v>6</v>
      </c>
      <c r="C112" s="443">
        <f>SUM(C109:C111)</f>
        <v>135.86000000000001</v>
      </c>
      <c r="D112" s="443">
        <f t="shared" ref="D112:N112" si="80">SUM(D109:D111)</f>
        <v>8.89</v>
      </c>
      <c r="E112" s="443">
        <f t="shared" si="80"/>
        <v>250.03</v>
      </c>
      <c r="F112" s="443">
        <f t="shared" si="80"/>
        <v>2.21</v>
      </c>
      <c r="G112" s="562">
        <f t="shared" si="77"/>
        <v>385.89</v>
      </c>
      <c r="H112" s="599">
        <f t="shared" si="71"/>
        <v>11.100000000000001</v>
      </c>
      <c r="I112" s="600">
        <f t="shared" si="72"/>
        <v>2.8764673870792201</v>
      </c>
      <c r="J112" s="443">
        <f t="shared" si="80"/>
        <v>106.16</v>
      </c>
      <c r="K112" s="443">
        <f t="shared" si="80"/>
        <v>5.56</v>
      </c>
      <c r="L112" s="600">
        <f t="shared" si="73"/>
        <v>5.2373775433308216</v>
      </c>
      <c r="M112" s="443">
        <f t="shared" si="80"/>
        <v>922.91000000000008</v>
      </c>
      <c r="N112" s="443">
        <f t="shared" si="80"/>
        <v>49.269999999999996</v>
      </c>
      <c r="O112" s="600">
        <f t="shared" si="74"/>
        <v>5.3385487208936944</v>
      </c>
      <c r="P112" s="562">
        <f t="shared" si="78"/>
        <v>1414.96</v>
      </c>
      <c r="Q112" s="599">
        <f t="shared" si="75"/>
        <v>65.929999999999993</v>
      </c>
      <c r="R112" s="600">
        <f t="shared" si="76"/>
        <v>4.659495674789393</v>
      </c>
    </row>
    <row r="113" spans="1:18">
      <c r="A113" s="563"/>
      <c r="B113" s="563"/>
      <c r="C113" s="601"/>
      <c r="D113" s="564"/>
      <c r="E113" s="564"/>
      <c r="F113" s="564"/>
      <c r="G113" s="565"/>
      <c r="H113" s="565"/>
      <c r="I113" s="603"/>
      <c r="J113" s="565"/>
      <c r="K113" s="565"/>
      <c r="L113" s="603"/>
      <c r="M113" s="565"/>
      <c r="N113" s="565"/>
      <c r="O113" s="603"/>
      <c r="P113" s="565"/>
      <c r="Q113" s="565"/>
      <c r="R113" s="603"/>
    </row>
    <row r="114" spans="1:18">
      <c r="A114" s="606" t="s">
        <v>537</v>
      </c>
      <c r="B114" s="1639" t="s">
        <v>399</v>
      </c>
      <c r="C114" s="1639"/>
      <c r="D114" s="1626" t="s">
        <v>546</v>
      </c>
      <c r="E114" s="1626"/>
      <c r="F114" s="1626"/>
      <c r="G114" s="1626"/>
      <c r="H114" s="1626"/>
      <c r="I114" s="1626"/>
      <c r="J114" s="1626"/>
      <c r="K114" s="1626"/>
      <c r="L114" s="1626"/>
      <c r="M114" s="1626"/>
      <c r="N114" s="1626"/>
      <c r="O114" s="1626"/>
      <c r="P114" s="1626"/>
      <c r="Q114" s="1626"/>
      <c r="R114" s="1626"/>
    </row>
    <row r="115" spans="1:18">
      <c r="A115" s="1621" t="s">
        <v>343</v>
      </c>
      <c r="B115" s="1622" t="s">
        <v>501</v>
      </c>
      <c r="C115" s="1622" t="s">
        <v>484</v>
      </c>
      <c r="D115" s="1622"/>
      <c r="E115" s="1622" t="s">
        <v>485</v>
      </c>
      <c r="F115" s="1622"/>
      <c r="G115" s="1625" t="s">
        <v>486</v>
      </c>
      <c r="H115" s="1625"/>
      <c r="I115" s="1625"/>
      <c r="J115" s="1625" t="s">
        <v>487</v>
      </c>
      <c r="K115" s="1625"/>
      <c r="L115" s="1625"/>
      <c r="M115" s="1625" t="s">
        <v>488</v>
      </c>
      <c r="N115" s="1625"/>
      <c r="O115" s="1625"/>
      <c r="P115" s="1625" t="s">
        <v>489</v>
      </c>
      <c r="Q115" s="1625"/>
      <c r="R115" s="1625"/>
    </row>
    <row r="116" spans="1:18">
      <c r="A116" s="1621"/>
      <c r="B116" s="1622"/>
      <c r="C116" s="597" t="s">
        <v>530</v>
      </c>
      <c r="D116" s="441" t="s">
        <v>531</v>
      </c>
      <c r="E116" s="441" t="s">
        <v>490</v>
      </c>
      <c r="F116" s="441" t="s">
        <v>531</v>
      </c>
      <c r="G116" s="441" t="s">
        <v>490</v>
      </c>
      <c r="H116" s="441" t="s">
        <v>531</v>
      </c>
      <c r="I116" s="598" t="s">
        <v>532</v>
      </c>
      <c r="J116" s="441" t="s">
        <v>490</v>
      </c>
      <c r="K116" s="441" t="s">
        <v>531</v>
      </c>
      <c r="L116" s="598" t="s">
        <v>532</v>
      </c>
      <c r="M116" s="441" t="s">
        <v>490</v>
      </c>
      <c r="N116" s="441" t="s">
        <v>531</v>
      </c>
      <c r="O116" s="598" t="s">
        <v>532</v>
      </c>
      <c r="P116" s="441" t="s">
        <v>490</v>
      </c>
      <c r="Q116" s="441" t="s">
        <v>531</v>
      </c>
      <c r="R116" s="598" t="s">
        <v>532</v>
      </c>
    </row>
    <row r="117" spans="1:18">
      <c r="A117" s="560" t="s">
        <v>10</v>
      </c>
      <c r="B117" s="1411">
        <v>2</v>
      </c>
      <c r="C117" s="561">
        <v>71.06</v>
      </c>
      <c r="D117" s="561">
        <v>10.1</v>
      </c>
      <c r="E117" s="562">
        <v>83.49</v>
      </c>
      <c r="F117" s="562">
        <v>0</v>
      </c>
      <c r="G117" s="562">
        <f t="shared" ref="G117:G122" si="81">C117+E117</f>
        <v>154.55000000000001</v>
      </c>
      <c r="H117" s="443">
        <f>F117+D117</f>
        <v>10.1</v>
      </c>
      <c r="I117" s="562">
        <f>H117/G117%</f>
        <v>6.5351019087673885</v>
      </c>
      <c r="J117" s="561">
        <v>58.85</v>
      </c>
      <c r="K117" s="561">
        <v>0</v>
      </c>
      <c r="L117" s="561">
        <f>K117/J117%</f>
        <v>0</v>
      </c>
      <c r="M117" s="561">
        <v>374</v>
      </c>
      <c r="N117" s="561">
        <v>9.1999999999999993</v>
      </c>
      <c r="O117" s="443">
        <f>N117/M117%</f>
        <v>2.4598930481283419</v>
      </c>
      <c r="P117" s="562">
        <f t="shared" ref="P117:P122" si="82">G117+J117+M117</f>
        <v>587.4</v>
      </c>
      <c r="Q117" s="562">
        <f>N117+K117+H117</f>
        <v>19.299999999999997</v>
      </c>
      <c r="R117" s="562">
        <f>Q117/P117%</f>
        <v>3.2856656452162065</v>
      </c>
    </row>
    <row r="118" spans="1:18">
      <c r="A118" s="560" t="s">
        <v>17</v>
      </c>
      <c r="B118" s="1411">
        <v>1</v>
      </c>
      <c r="C118" s="561">
        <v>0</v>
      </c>
      <c r="D118" s="561">
        <v>0</v>
      </c>
      <c r="E118" s="562">
        <v>0</v>
      </c>
      <c r="F118" s="562">
        <v>0</v>
      </c>
      <c r="G118" s="562">
        <f t="shared" si="81"/>
        <v>0</v>
      </c>
      <c r="H118" s="443">
        <f t="shared" ref="H118:H122" si="83">F118+D118</f>
        <v>0</v>
      </c>
      <c r="I118" s="562">
        <v>0</v>
      </c>
      <c r="J118" s="561">
        <v>0</v>
      </c>
      <c r="K118" s="561">
        <v>0</v>
      </c>
      <c r="L118" s="561">
        <v>0</v>
      </c>
      <c r="M118" s="561">
        <v>0</v>
      </c>
      <c r="N118" s="561">
        <v>0</v>
      </c>
      <c r="O118" s="443">
        <v>0</v>
      </c>
      <c r="P118" s="562">
        <f t="shared" si="82"/>
        <v>0</v>
      </c>
      <c r="Q118" s="562">
        <f t="shared" ref="Q118:Q122" si="84">N118+K118+H118</f>
        <v>0</v>
      </c>
      <c r="R118" s="562">
        <v>0</v>
      </c>
    </row>
    <row r="119" spans="1:18">
      <c r="A119" s="442" t="s">
        <v>502</v>
      </c>
      <c r="B119" s="1412">
        <f>SUM(B117:B118)</f>
        <v>3</v>
      </c>
      <c r="C119" s="443">
        <f>SUM(C117:C118)</f>
        <v>71.06</v>
      </c>
      <c r="D119" s="443">
        <f>SUM(D117:D118)</f>
        <v>10.1</v>
      </c>
      <c r="E119" s="443">
        <f>SUM(E117:E118)</f>
        <v>83.49</v>
      </c>
      <c r="F119" s="443">
        <f>SUM(F117:F118)</f>
        <v>0</v>
      </c>
      <c r="G119" s="562">
        <f t="shared" si="81"/>
        <v>154.55000000000001</v>
      </c>
      <c r="H119" s="443">
        <f t="shared" si="83"/>
        <v>10.1</v>
      </c>
      <c r="I119" s="443">
        <f t="shared" ref="I119:O119" si="85">SUM(I117:I118)</f>
        <v>6.5351019087673885</v>
      </c>
      <c r="J119" s="443">
        <f t="shared" si="85"/>
        <v>58.85</v>
      </c>
      <c r="K119" s="443">
        <f t="shared" si="85"/>
        <v>0</v>
      </c>
      <c r="L119" s="443">
        <f t="shared" si="85"/>
        <v>0</v>
      </c>
      <c r="M119" s="443">
        <f t="shared" si="85"/>
        <v>374</v>
      </c>
      <c r="N119" s="443">
        <f t="shared" si="85"/>
        <v>9.1999999999999993</v>
      </c>
      <c r="O119" s="443">
        <f t="shared" si="85"/>
        <v>2.4598930481283419</v>
      </c>
      <c r="P119" s="562">
        <f t="shared" si="82"/>
        <v>587.4</v>
      </c>
      <c r="Q119" s="562">
        <f t="shared" si="84"/>
        <v>19.299999999999997</v>
      </c>
      <c r="R119" s="443">
        <f>SUM(R117:R118)</f>
        <v>3.2856656452162065</v>
      </c>
    </row>
    <row r="120" spans="1:18">
      <c r="A120" s="442" t="s">
        <v>115</v>
      </c>
      <c r="B120" s="637">
        <v>2</v>
      </c>
      <c r="C120" s="561">
        <v>24.2</v>
      </c>
      <c r="D120" s="561">
        <v>7.44</v>
      </c>
      <c r="E120" s="562">
        <v>10.23</v>
      </c>
      <c r="F120" s="562">
        <v>4.42</v>
      </c>
      <c r="G120" s="562">
        <f t="shared" si="81"/>
        <v>34.43</v>
      </c>
      <c r="H120" s="443">
        <f t="shared" si="83"/>
        <v>11.86</v>
      </c>
      <c r="I120" s="562">
        <f t="shared" ref="I120:I122" si="86">H120/G120%</f>
        <v>34.44670345628812</v>
      </c>
      <c r="J120" s="561">
        <v>2.37</v>
      </c>
      <c r="K120" s="561">
        <v>1.1000000000000001</v>
      </c>
      <c r="L120" s="561">
        <f t="shared" ref="L120:L122" si="87">K120/J120%</f>
        <v>46.413502109704638</v>
      </c>
      <c r="M120" s="561">
        <v>101.81</v>
      </c>
      <c r="N120" s="561">
        <v>24.08</v>
      </c>
      <c r="O120" s="443">
        <f t="shared" ref="O120:O122" si="88">N120/M120%</f>
        <v>23.651900599155287</v>
      </c>
      <c r="P120" s="562">
        <f t="shared" si="82"/>
        <v>138.61000000000001</v>
      </c>
      <c r="Q120" s="562">
        <f t="shared" si="84"/>
        <v>37.04</v>
      </c>
      <c r="R120" s="562">
        <f t="shared" ref="R120:R122" si="89">Q120/P120%</f>
        <v>26.722458697063701</v>
      </c>
    </row>
    <row r="121" spans="1:18">
      <c r="A121" s="442" t="s">
        <v>507</v>
      </c>
      <c r="B121" s="637">
        <v>1</v>
      </c>
      <c r="C121" s="561">
        <v>4.07</v>
      </c>
      <c r="D121" s="561">
        <v>0</v>
      </c>
      <c r="E121" s="562">
        <v>92.95</v>
      </c>
      <c r="F121" s="562">
        <v>0</v>
      </c>
      <c r="G121" s="562">
        <f t="shared" si="81"/>
        <v>97.02000000000001</v>
      </c>
      <c r="H121" s="443">
        <f t="shared" si="83"/>
        <v>0</v>
      </c>
      <c r="I121" s="562">
        <f t="shared" si="86"/>
        <v>0</v>
      </c>
      <c r="J121" s="561">
        <v>6.05</v>
      </c>
      <c r="K121" s="561">
        <v>0</v>
      </c>
      <c r="L121" s="561">
        <f t="shared" si="87"/>
        <v>0</v>
      </c>
      <c r="M121" s="561">
        <v>57.2</v>
      </c>
      <c r="N121" s="561">
        <v>0</v>
      </c>
      <c r="O121" s="443">
        <f t="shared" si="88"/>
        <v>0</v>
      </c>
      <c r="P121" s="562">
        <f t="shared" si="82"/>
        <v>160.27000000000001</v>
      </c>
      <c r="Q121" s="562">
        <f t="shared" si="84"/>
        <v>0</v>
      </c>
      <c r="R121" s="562">
        <f t="shared" si="89"/>
        <v>0</v>
      </c>
    </row>
    <row r="122" spans="1:18">
      <c r="A122" s="442" t="s">
        <v>505</v>
      </c>
      <c r="B122" s="1412">
        <f>SUM(B119:B121)</f>
        <v>6</v>
      </c>
      <c r="C122" s="443">
        <f>SUM(C119:C121)</f>
        <v>99.330000000000013</v>
      </c>
      <c r="D122" s="443">
        <f t="shared" ref="D122:N122" si="90">SUM(D119:D121)</f>
        <v>17.54</v>
      </c>
      <c r="E122" s="443">
        <f t="shared" si="90"/>
        <v>186.67000000000002</v>
      </c>
      <c r="F122" s="443">
        <f t="shared" si="90"/>
        <v>4.42</v>
      </c>
      <c r="G122" s="562">
        <f t="shared" si="81"/>
        <v>286</v>
      </c>
      <c r="H122" s="443">
        <f t="shared" si="83"/>
        <v>21.96</v>
      </c>
      <c r="I122" s="562">
        <f t="shared" si="86"/>
        <v>7.6783216783216792</v>
      </c>
      <c r="J122" s="443">
        <f t="shared" si="90"/>
        <v>67.27</v>
      </c>
      <c r="K122" s="443">
        <f t="shared" si="90"/>
        <v>1.1000000000000001</v>
      </c>
      <c r="L122" s="561">
        <f t="shared" si="87"/>
        <v>1.635201427084882</v>
      </c>
      <c r="M122" s="443">
        <f t="shared" si="90"/>
        <v>533.01</v>
      </c>
      <c r="N122" s="443">
        <f t="shared" si="90"/>
        <v>33.28</v>
      </c>
      <c r="O122" s="443">
        <f t="shared" si="88"/>
        <v>6.2437852948349946</v>
      </c>
      <c r="P122" s="562">
        <f t="shared" si="82"/>
        <v>886.28</v>
      </c>
      <c r="Q122" s="562">
        <f t="shared" si="84"/>
        <v>56.34</v>
      </c>
      <c r="R122" s="562">
        <f t="shared" si="89"/>
        <v>6.3569075235817127</v>
      </c>
    </row>
    <row r="123" spans="1:18">
      <c r="A123" s="574"/>
      <c r="B123" s="574"/>
      <c r="C123" s="580"/>
      <c r="D123" s="579"/>
      <c r="E123" s="567"/>
      <c r="F123" s="567"/>
      <c r="G123" s="567"/>
      <c r="H123" s="567"/>
      <c r="I123" s="609"/>
      <c r="J123" s="567"/>
      <c r="K123" s="567"/>
      <c r="L123" s="609"/>
      <c r="M123" s="567"/>
      <c r="N123" s="567"/>
      <c r="O123" s="609"/>
      <c r="P123" s="567"/>
      <c r="Q123" s="567"/>
      <c r="R123" s="609"/>
    </row>
    <row r="124" spans="1:18">
      <c r="A124" s="574"/>
      <c r="B124" s="574"/>
      <c r="C124" s="580"/>
      <c r="D124" s="579"/>
      <c r="E124" s="567"/>
      <c r="F124" s="567"/>
      <c r="G124" s="567"/>
      <c r="H124" s="567"/>
      <c r="I124" s="609"/>
      <c r="J124" s="567"/>
      <c r="K124" s="567"/>
      <c r="L124" s="609"/>
      <c r="M124" s="567"/>
      <c r="N124" s="567"/>
      <c r="O124" s="609"/>
      <c r="P124" s="567"/>
      <c r="Q124" s="567"/>
      <c r="R124" s="609"/>
    </row>
    <row r="125" spans="1:18">
      <c r="A125" s="574"/>
      <c r="B125" s="574"/>
      <c r="C125" s="580"/>
      <c r="D125" s="579"/>
      <c r="E125" s="567"/>
      <c r="F125" s="567"/>
      <c r="G125" s="567"/>
      <c r="H125" s="567"/>
      <c r="I125" s="609"/>
      <c r="J125" s="567"/>
      <c r="K125" s="567"/>
      <c r="L125" s="609"/>
      <c r="M125" s="567"/>
      <c r="N125" s="567"/>
      <c r="O125" s="609"/>
      <c r="P125" s="567"/>
      <c r="Q125" s="567"/>
      <c r="R125" s="609"/>
    </row>
    <row r="126" spans="1:18">
      <c r="A126" s="574"/>
      <c r="B126" s="574"/>
      <c r="C126" s="580"/>
      <c r="D126" s="579"/>
      <c r="E126" s="567"/>
      <c r="F126" s="567"/>
      <c r="G126" s="567"/>
      <c r="H126" s="567"/>
      <c r="I126" s="609"/>
      <c r="J126" s="567"/>
      <c r="K126" s="567"/>
      <c r="L126" s="609"/>
      <c r="M126" s="567"/>
      <c r="N126" s="567"/>
      <c r="O126" s="609"/>
      <c r="P126" s="567"/>
      <c r="Q126" s="567"/>
      <c r="R126" s="609"/>
    </row>
    <row r="127" spans="1:18" ht="15.75">
      <c r="A127" s="1628">
        <v>87</v>
      </c>
      <c r="B127" s="1628"/>
      <c r="C127" s="1628"/>
      <c r="D127" s="1628"/>
      <c r="E127" s="1628"/>
      <c r="F127" s="1628"/>
      <c r="G127" s="1628"/>
      <c r="H127" s="1628"/>
      <c r="I127" s="1628"/>
      <c r="J127" s="1628"/>
      <c r="K127" s="1628"/>
      <c r="L127" s="1628"/>
      <c r="M127" s="1628"/>
      <c r="N127" s="1628"/>
      <c r="O127" s="1628"/>
      <c r="P127" s="1628"/>
      <c r="Q127" s="1628"/>
      <c r="R127" s="1628"/>
    </row>
    <row r="128" spans="1:18">
      <c r="A128" s="574" t="s">
        <v>508</v>
      </c>
      <c r="B128" s="574"/>
      <c r="C128" s="610"/>
      <c r="D128" s="1626" t="s">
        <v>546</v>
      </c>
      <c r="E128" s="1626"/>
      <c r="F128" s="1626"/>
      <c r="G128" s="1626"/>
      <c r="H128" s="1626"/>
      <c r="I128" s="1626"/>
      <c r="J128" s="1626"/>
      <c r="K128" s="1626"/>
      <c r="L128" s="1626"/>
      <c r="M128" s="1626"/>
      <c r="N128" s="1626"/>
      <c r="O128" s="1626"/>
      <c r="P128" s="1626"/>
      <c r="Q128" s="1627" t="s">
        <v>315</v>
      </c>
      <c r="R128" s="1627"/>
    </row>
    <row r="129" spans="1:18">
      <c r="A129" s="1621" t="s">
        <v>343</v>
      </c>
      <c r="B129" s="1622" t="s">
        <v>501</v>
      </c>
      <c r="C129" s="1622" t="s">
        <v>484</v>
      </c>
      <c r="D129" s="1622"/>
      <c r="E129" s="1622" t="s">
        <v>485</v>
      </c>
      <c r="F129" s="1622"/>
      <c r="G129" s="1625" t="s">
        <v>486</v>
      </c>
      <c r="H129" s="1625"/>
      <c r="I129" s="1625"/>
      <c r="J129" s="1625" t="s">
        <v>487</v>
      </c>
      <c r="K129" s="1625"/>
      <c r="L129" s="1625"/>
      <c r="M129" s="1625" t="s">
        <v>488</v>
      </c>
      <c r="N129" s="1625"/>
      <c r="O129" s="1625"/>
      <c r="P129" s="1625" t="s">
        <v>489</v>
      </c>
      <c r="Q129" s="1625"/>
      <c r="R129" s="1625"/>
    </row>
    <row r="130" spans="1:18">
      <c r="A130" s="1621"/>
      <c r="B130" s="1622"/>
      <c r="C130" s="597" t="s">
        <v>530</v>
      </c>
      <c r="D130" s="441" t="s">
        <v>531</v>
      </c>
      <c r="E130" s="441" t="s">
        <v>490</v>
      </c>
      <c r="F130" s="441" t="s">
        <v>531</v>
      </c>
      <c r="G130" s="441" t="s">
        <v>490</v>
      </c>
      <c r="H130" s="441" t="s">
        <v>531</v>
      </c>
      <c r="I130" s="598" t="s">
        <v>532</v>
      </c>
      <c r="J130" s="441" t="s">
        <v>490</v>
      </c>
      <c r="K130" s="441" t="s">
        <v>531</v>
      </c>
      <c r="L130" s="598" t="s">
        <v>532</v>
      </c>
      <c r="M130" s="441" t="s">
        <v>490</v>
      </c>
      <c r="N130" s="441" t="s">
        <v>531</v>
      </c>
      <c r="O130" s="598" t="s">
        <v>532</v>
      </c>
      <c r="P130" s="441" t="s">
        <v>490</v>
      </c>
      <c r="Q130" s="441" t="s">
        <v>531</v>
      </c>
      <c r="R130" s="598" t="s">
        <v>532</v>
      </c>
    </row>
    <row r="131" spans="1:18">
      <c r="A131" s="560" t="s">
        <v>10</v>
      </c>
      <c r="B131" s="560">
        <v>2</v>
      </c>
      <c r="C131" s="561">
        <v>71.06</v>
      </c>
      <c r="D131" s="561">
        <v>0</v>
      </c>
      <c r="E131" s="562">
        <v>83.49</v>
      </c>
      <c r="F131" s="562">
        <v>0</v>
      </c>
      <c r="G131" s="562">
        <f>C131+E131</f>
        <v>154.55000000000001</v>
      </c>
      <c r="H131" s="562">
        <f>F131+D131</f>
        <v>0</v>
      </c>
      <c r="I131" s="562">
        <f>H131/G131%</f>
        <v>0</v>
      </c>
      <c r="J131" s="561">
        <v>58.85</v>
      </c>
      <c r="K131" s="561">
        <v>0</v>
      </c>
      <c r="L131" s="600">
        <f t="shared" ref="L131:L137" si="91">(K131/J131*100)</f>
        <v>0</v>
      </c>
      <c r="M131" s="561">
        <v>429</v>
      </c>
      <c r="N131" s="561">
        <v>2.57</v>
      </c>
      <c r="O131" s="600">
        <f t="shared" ref="O131:O137" si="92">(N131/M131*100)</f>
        <v>0.59906759906759899</v>
      </c>
      <c r="P131" s="562">
        <f>G131+J131+M131</f>
        <v>642.4</v>
      </c>
      <c r="Q131" s="599">
        <f t="shared" ref="Q131:Q137" si="93">H131+K131+N131</f>
        <v>2.57</v>
      </c>
      <c r="R131" s="600">
        <f t="shared" ref="R131:R137" si="94">(Q131/P131*100)</f>
        <v>0.40006226650062271</v>
      </c>
    </row>
    <row r="132" spans="1:18">
      <c r="A132" s="442" t="s">
        <v>509</v>
      </c>
      <c r="B132" s="442">
        <v>2</v>
      </c>
      <c r="C132" s="561">
        <v>85.42</v>
      </c>
      <c r="D132" s="561">
        <v>7</v>
      </c>
      <c r="E132" s="562">
        <v>138.71</v>
      </c>
      <c r="F132" s="562">
        <v>0</v>
      </c>
      <c r="G132" s="562">
        <f t="shared" ref="G132:G136" si="95">C132+E132</f>
        <v>224.13</v>
      </c>
      <c r="H132" s="562">
        <f t="shared" ref="H132:H136" si="96">F132+D132</f>
        <v>7</v>
      </c>
      <c r="I132" s="562">
        <f t="shared" ref="I132:I137" si="97">H132/G132%</f>
        <v>3.1231874358631155</v>
      </c>
      <c r="J132" s="561">
        <v>81.510000000000005</v>
      </c>
      <c r="K132" s="561">
        <f>14.4+9</f>
        <v>23.4</v>
      </c>
      <c r="L132" s="600">
        <f t="shared" si="91"/>
        <v>28.708133971291861</v>
      </c>
      <c r="M132" s="561">
        <v>673.26</v>
      </c>
      <c r="N132" s="561">
        <v>38</v>
      </c>
      <c r="O132" s="600">
        <f t="shared" si="92"/>
        <v>5.6441790690075155</v>
      </c>
      <c r="P132" s="562">
        <f t="shared" ref="P132:P137" si="98">G132+J132+M132</f>
        <v>978.9</v>
      </c>
      <c r="Q132" s="599">
        <f t="shared" si="93"/>
        <v>68.400000000000006</v>
      </c>
      <c r="R132" s="600">
        <f t="shared" si="94"/>
        <v>6.9874348758810916</v>
      </c>
    </row>
    <row r="133" spans="1:18">
      <c r="A133" s="442" t="s">
        <v>32</v>
      </c>
      <c r="B133" s="442">
        <v>1</v>
      </c>
      <c r="C133" s="561">
        <v>51.26</v>
      </c>
      <c r="D133" s="561">
        <v>0</v>
      </c>
      <c r="E133" s="562">
        <v>12.1</v>
      </c>
      <c r="F133" s="562">
        <v>0</v>
      </c>
      <c r="G133" s="562">
        <f t="shared" si="95"/>
        <v>63.36</v>
      </c>
      <c r="H133" s="562">
        <f t="shared" si="96"/>
        <v>0</v>
      </c>
      <c r="I133" s="562">
        <f t="shared" si="97"/>
        <v>0</v>
      </c>
      <c r="J133" s="561">
        <v>5.5</v>
      </c>
      <c r="K133" s="561">
        <v>0</v>
      </c>
      <c r="L133" s="600">
        <f t="shared" si="91"/>
        <v>0</v>
      </c>
      <c r="M133" s="561">
        <v>402.77</v>
      </c>
      <c r="N133" s="561">
        <v>3</v>
      </c>
      <c r="O133" s="600">
        <f t="shared" si="92"/>
        <v>0.74484196936216696</v>
      </c>
      <c r="P133" s="562">
        <f t="shared" si="98"/>
        <v>471.63</v>
      </c>
      <c r="Q133" s="599">
        <f t="shared" si="93"/>
        <v>3</v>
      </c>
      <c r="R133" s="600">
        <f t="shared" si="94"/>
        <v>0.63609185166338023</v>
      </c>
    </row>
    <row r="134" spans="1:18">
      <c r="A134" s="442" t="s">
        <v>11</v>
      </c>
      <c r="B134" s="442">
        <v>1</v>
      </c>
      <c r="C134" s="561">
        <v>7.7</v>
      </c>
      <c r="D134" s="561">
        <v>0</v>
      </c>
      <c r="E134" s="562">
        <v>0</v>
      </c>
      <c r="F134" s="562">
        <v>0</v>
      </c>
      <c r="G134" s="562">
        <f t="shared" si="95"/>
        <v>7.7</v>
      </c>
      <c r="H134" s="562">
        <f t="shared" si="96"/>
        <v>0</v>
      </c>
      <c r="I134" s="562">
        <f t="shared" si="97"/>
        <v>0</v>
      </c>
      <c r="J134" s="561">
        <v>5.5</v>
      </c>
      <c r="K134" s="561">
        <v>0</v>
      </c>
      <c r="L134" s="600">
        <f t="shared" si="91"/>
        <v>0</v>
      </c>
      <c r="M134" s="561">
        <v>2.2000000000000002</v>
      </c>
      <c r="N134" s="561">
        <v>0</v>
      </c>
      <c r="O134" s="600">
        <f t="shared" si="92"/>
        <v>0</v>
      </c>
      <c r="P134" s="562">
        <f t="shared" si="98"/>
        <v>15.399999999999999</v>
      </c>
      <c r="Q134" s="599">
        <f t="shared" si="93"/>
        <v>0</v>
      </c>
      <c r="R134" s="600">
        <f t="shared" si="94"/>
        <v>0</v>
      </c>
    </row>
    <row r="135" spans="1:18">
      <c r="A135" s="442" t="s">
        <v>502</v>
      </c>
      <c r="B135" s="442">
        <v>6</v>
      </c>
      <c r="C135" s="443">
        <f>SUM(C131:C134)</f>
        <v>215.44</v>
      </c>
      <c r="D135" s="443">
        <f t="shared" ref="D135:N135" si="99">SUM(D131:D134)</f>
        <v>7</v>
      </c>
      <c r="E135" s="443">
        <f t="shared" si="99"/>
        <v>234.29999999999998</v>
      </c>
      <c r="F135" s="443">
        <f t="shared" si="99"/>
        <v>0</v>
      </c>
      <c r="G135" s="562">
        <f t="shared" si="95"/>
        <v>449.74</v>
      </c>
      <c r="H135" s="562">
        <f t="shared" si="96"/>
        <v>7</v>
      </c>
      <c r="I135" s="562">
        <f t="shared" si="97"/>
        <v>1.5564548405745542</v>
      </c>
      <c r="J135" s="443">
        <f t="shared" si="99"/>
        <v>151.36000000000001</v>
      </c>
      <c r="K135" s="443">
        <f t="shared" si="99"/>
        <v>23.4</v>
      </c>
      <c r="L135" s="600">
        <f t="shared" si="91"/>
        <v>15.459830866807609</v>
      </c>
      <c r="M135" s="443">
        <f t="shared" si="99"/>
        <v>1507.23</v>
      </c>
      <c r="N135" s="443">
        <f t="shared" si="99"/>
        <v>43.57</v>
      </c>
      <c r="O135" s="600">
        <f t="shared" si="92"/>
        <v>2.8907333320063957</v>
      </c>
      <c r="P135" s="562">
        <f t="shared" si="98"/>
        <v>2108.33</v>
      </c>
      <c r="Q135" s="599">
        <f t="shared" si="93"/>
        <v>73.97</v>
      </c>
      <c r="R135" s="600">
        <f t="shared" si="94"/>
        <v>3.5084640450024427</v>
      </c>
    </row>
    <row r="136" spans="1:18">
      <c r="A136" s="442" t="s">
        <v>507</v>
      </c>
      <c r="B136" s="442">
        <v>2</v>
      </c>
      <c r="C136" s="561">
        <v>8.1999999999999993</v>
      </c>
      <c r="D136" s="561">
        <v>0</v>
      </c>
      <c r="E136" s="562">
        <v>185.9</v>
      </c>
      <c r="F136" s="562">
        <v>0</v>
      </c>
      <c r="G136" s="562">
        <f t="shared" si="95"/>
        <v>194.1</v>
      </c>
      <c r="H136" s="562">
        <f t="shared" si="96"/>
        <v>0</v>
      </c>
      <c r="I136" s="562">
        <f t="shared" si="97"/>
        <v>0</v>
      </c>
      <c r="J136" s="561">
        <v>11.94</v>
      </c>
      <c r="K136" s="561">
        <v>0</v>
      </c>
      <c r="L136" s="600">
        <f t="shared" si="91"/>
        <v>0</v>
      </c>
      <c r="M136" s="561">
        <v>114.18</v>
      </c>
      <c r="N136" s="561">
        <v>0</v>
      </c>
      <c r="O136" s="600">
        <f t="shared" si="92"/>
        <v>0</v>
      </c>
      <c r="P136" s="562">
        <f t="shared" si="98"/>
        <v>320.22000000000003</v>
      </c>
      <c r="Q136" s="599">
        <f t="shared" si="93"/>
        <v>0</v>
      </c>
      <c r="R136" s="600">
        <f t="shared" si="94"/>
        <v>0</v>
      </c>
    </row>
    <row r="137" spans="1:18">
      <c r="A137" s="442" t="s">
        <v>505</v>
      </c>
      <c r="B137" s="442">
        <v>8</v>
      </c>
      <c r="C137" s="443">
        <f>SUM(C135:C136)</f>
        <v>223.64</v>
      </c>
      <c r="D137" s="443">
        <f t="shared" ref="D137:N137" si="100">SUM(D135:D136)</f>
        <v>7</v>
      </c>
      <c r="E137" s="443">
        <f t="shared" si="100"/>
        <v>420.2</v>
      </c>
      <c r="F137" s="443">
        <f t="shared" si="100"/>
        <v>0</v>
      </c>
      <c r="G137" s="443">
        <f t="shared" si="100"/>
        <v>643.84</v>
      </c>
      <c r="H137" s="443">
        <f t="shared" si="100"/>
        <v>7</v>
      </c>
      <c r="I137" s="562">
        <f t="shared" si="97"/>
        <v>1.0872266401590456</v>
      </c>
      <c r="J137" s="443">
        <f t="shared" si="100"/>
        <v>163.30000000000001</v>
      </c>
      <c r="K137" s="443">
        <f t="shared" si="100"/>
        <v>23.4</v>
      </c>
      <c r="L137" s="600">
        <f t="shared" si="91"/>
        <v>14.329454990814449</v>
      </c>
      <c r="M137" s="443">
        <f t="shared" si="100"/>
        <v>1621.41</v>
      </c>
      <c r="N137" s="443">
        <f t="shared" si="100"/>
        <v>43.57</v>
      </c>
      <c r="O137" s="600">
        <f t="shared" si="92"/>
        <v>2.6871673420047983</v>
      </c>
      <c r="P137" s="562">
        <f t="shared" si="98"/>
        <v>2428.5500000000002</v>
      </c>
      <c r="Q137" s="599">
        <f t="shared" si="93"/>
        <v>73.97</v>
      </c>
      <c r="R137" s="600">
        <f t="shared" si="94"/>
        <v>3.0458504045623931</v>
      </c>
    </row>
    <row r="138" spans="1:18">
      <c r="A138" s="563"/>
      <c r="B138" s="563"/>
      <c r="C138" s="601"/>
      <c r="D138" s="564"/>
      <c r="E138" s="564"/>
      <c r="F138" s="564"/>
      <c r="G138" s="565"/>
      <c r="H138" s="565"/>
      <c r="I138" s="603"/>
      <c r="J138" s="565"/>
      <c r="K138" s="565"/>
      <c r="L138" s="603"/>
      <c r="M138" s="565"/>
      <c r="N138" s="565"/>
      <c r="O138" s="603"/>
      <c r="P138" s="565"/>
      <c r="Q138" s="565"/>
      <c r="R138" s="603"/>
    </row>
    <row r="139" spans="1:18">
      <c r="A139" s="563"/>
      <c r="B139" s="563"/>
      <c r="C139" s="601"/>
      <c r="D139" s="564"/>
      <c r="E139" s="564"/>
      <c r="F139" s="564"/>
      <c r="G139" s="565"/>
      <c r="H139" s="565"/>
      <c r="I139" s="603"/>
      <c r="J139" s="578"/>
      <c r="K139" s="578"/>
      <c r="L139" s="615"/>
      <c r="M139" s="565"/>
      <c r="N139" s="565"/>
      <c r="O139" s="603"/>
      <c r="P139" s="565"/>
      <c r="Q139" s="565"/>
      <c r="R139" s="603"/>
    </row>
    <row r="140" spans="1:18">
      <c r="A140" s="606" t="s">
        <v>537</v>
      </c>
      <c r="B140" s="616" t="s">
        <v>400</v>
      </c>
      <c r="C140" s="616"/>
      <c r="D140" s="1629" t="s">
        <v>548</v>
      </c>
      <c r="E140" s="1629"/>
      <c r="F140" s="1629"/>
      <c r="G140" s="1629"/>
      <c r="H140" s="1629"/>
      <c r="I140" s="1629"/>
      <c r="J140" s="1629"/>
      <c r="K140" s="1629"/>
      <c r="L140" s="1629"/>
      <c r="M140" s="1629"/>
      <c r="N140" s="1629"/>
      <c r="O140" s="1629"/>
      <c r="P140" s="1629"/>
      <c r="Q140" s="1629"/>
      <c r="R140" s="1629"/>
    </row>
    <row r="141" spans="1:18">
      <c r="A141" s="1630" t="s">
        <v>500</v>
      </c>
      <c r="B141" s="1631" t="s">
        <v>501</v>
      </c>
      <c r="C141" s="1633" t="s">
        <v>484</v>
      </c>
      <c r="D141" s="1634"/>
      <c r="E141" s="1633" t="s">
        <v>485</v>
      </c>
      <c r="F141" s="1634"/>
      <c r="G141" s="1635" t="s">
        <v>486</v>
      </c>
      <c r="H141" s="1636"/>
      <c r="I141" s="1637"/>
      <c r="J141" s="1635" t="s">
        <v>487</v>
      </c>
      <c r="K141" s="1636"/>
      <c r="L141" s="1637"/>
      <c r="M141" s="1635" t="s">
        <v>488</v>
      </c>
      <c r="N141" s="1636"/>
      <c r="O141" s="1637"/>
      <c r="P141" s="1635" t="s">
        <v>489</v>
      </c>
      <c r="Q141" s="1636"/>
      <c r="R141" s="1637"/>
    </row>
    <row r="142" spans="1:18">
      <c r="A142" s="1630"/>
      <c r="B142" s="1632"/>
      <c r="C142" s="617" t="s">
        <v>530</v>
      </c>
      <c r="D142" s="618" t="s">
        <v>531</v>
      </c>
      <c r="E142" s="618" t="s">
        <v>490</v>
      </c>
      <c r="F142" s="618" t="s">
        <v>531</v>
      </c>
      <c r="G142" s="618" t="s">
        <v>490</v>
      </c>
      <c r="H142" s="618" t="s">
        <v>531</v>
      </c>
      <c r="I142" s="619" t="s">
        <v>532</v>
      </c>
      <c r="J142" s="618" t="s">
        <v>490</v>
      </c>
      <c r="K142" s="618" t="s">
        <v>531</v>
      </c>
      <c r="L142" s="619" t="s">
        <v>532</v>
      </c>
      <c r="M142" s="618" t="s">
        <v>490</v>
      </c>
      <c r="N142" s="618" t="s">
        <v>531</v>
      </c>
      <c r="O142" s="619" t="s">
        <v>532</v>
      </c>
      <c r="P142" s="618" t="s">
        <v>490</v>
      </c>
      <c r="Q142" s="618" t="s">
        <v>531</v>
      </c>
      <c r="R142" s="619" t="s">
        <v>532</v>
      </c>
    </row>
    <row r="143" spans="1:18">
      <c r="A143" s="571" t="s">
        <v>10</v>
      </c>
      <c r="B143" s="571">
        <v>2</v>
      </c>
      <c r="C143" s="561">
        <v>71.06</v>
      </c>
      <c r="D143" s="561">
        <v>0</v>
      </c>
      <c r="E143" s="561">
        <v>83.49</v>
      </c>
      <c r="F143" s="561">
        <v>0</v>
      </c>
      <c r="G143" s="562">
        <f>C143+E143</f>
        <v>154.55000000000001</v>
      </c>
      <c r="H143" s="620">
        <f>D143+F143</f>
        <v>0</v>
      </c>
      <c r="I143" s="623">
        <f>(H143/G143*100)</f>
        <v>0</v>
      </c>
      <c r="J143" s="561">
        <v>58.85</v>
      </c>
      <c r="K143" s="561">
        <v>0</v>
      </c>
      <c r="L143" s="623">
        <f>(K143/J143*100)</f>
        <v>0</v>
      </c>
      <c r="M143" s="561">
        <v>374</v>
      </c>
      <c r="N143" s="561">
        <v>0</v>
      </c>
      <c r="O143" s="623">
        <f>(N143/M143*100)</f>
        <v>0</v>
      </c>
      <c r="P143" s="562">
        <f>G143+J143+M143</f>
        <v>587.4</v>
      </c>
      <c r="Q143" s="562">
        <v>0</v>
      </c>
      <c r="R143" s="623">
        <f>(Q143/P143*100)</f>
        <v>0</v>
      </c>
    </row>
    <row r="144" spans="1:18">
      <c r="A144" s="621" t="s">
        <v>502</v>
      </c>
      <c r="B144" s="621">
        <f t="shared" ref="B144:E145" si="101">SUM(B143)</f>
        <v>2</v>
      </c>
      <c r="C144" s="622">
        <f t="shared" si="101"/>
        <v>71.06</v>
      </c>
      <c r="D144" s="620">
        <f>SUM(D143)</f>
        <v>0</v>
      </c>
      <c r="E144" s="620">
        <f t="shared" si="101"/>
        <v>83.49</v>
      </c>
      <c r="F144" s="620">
        <v>0</v>
      </c>
      <c r="G144" s="620">
        <f>E144+C144</f>
        <v>154.55000000000001</v>
      </c>
      <c r="H144" s="620">
        <f>D144+F144</f>
        <v>0</v>
      </c>
      <c r="I144" s="623">
        <f>(H144/G144*100)</f>
        <v>0</v>
      </c>
      <c r="J144" s="620">
        <f>SUM(J143)</f>
        <v>58.85</v>
      </c>
      <c r="K144" s="620">
        <v>0</v>
      </c>
      <c r="L144" s="623">
        <f>(K144/J144*100)</f>
        <v>0</v>
      </c>
      <c r="M144" s="620">
        <f>SUM(M143)</f>
        <v>374</v>
      </c>
      <c r="N144" s="620">
        <v>0</v>
      </c>
      <c r="O144" s="623">
        <f>(N144/M144*100)</f>
        <v>0</v>
      </c>
      <c r="P144" s="620">
        <f>SUM(P143)</f>
        <v>587.4</v>
      </c>
      <c r="Q144" s="620">
        <f>H144+K144+N144</f>
        <v>0</v>
      </c>
      <c r="R144" s="623">
        <f>(Q144/P144*100)</f>
        <v>0</v>
      </c>
    </row>
    <row r="145" spans="1:18">
      <c r="A145" s="621" t="s">
        <v>505</v>
      </c>
      <c r="B145" s="621">
        <f t="shared" si="101"/>
        <v>2</v>
      </c>
      <c r="C145" s="622">
        <f>SUM(C144)</f>
        <v>71.06</v>
      </c>
      <c r="D145" s="622">
        <f t="shared" ref="D145:Q145" si="102">SUM(D144)</f>
        <v>0</v>
      </c>
      <c r="E145" s="622">
        <f t="shared" si="102"/>
        <v>83.49</v>
      </c>
      <c r="F145" s="622">
        <f t="shared" si="102"/>
        <v>0</v>
      </c>
      <c r="G145" s="622">
        <f t="shared" si="102"/>
        <v>154.55000000000001</v>
      </c>
      <c r="H145" s="622">
        <f t="shared" si="102"/>
        <v>0</v>
      </c>
      <c r="I145" s="623">
        <f>(H145/G145*100)</f>
        <v>0</v>
      </c>
      <c r="J145" s="622">
        <f t="shared" si="102"/>
        <v>58.85</v>
      </c>
      <c r="K145" s="622">
        <f t="shared" si="102"/>
        <v>0</v>
      </c>
      <c r="L145" s="623">
        <f>(K145/J145*100)</f>
        <v>0</v>
      </c>
      <c r="M145" s="622">
        <f t="shared" si="102"/>
        <v>374</v>
      </c>
      <c r="N145" s="622">
        <f t="shared" si="102"/>
        <v>0</v>
      </c>
      <c r="O145" s="623">
        <f>(N145/M145*100)</f>
        <v>0</v>
      </c>
      <c r="P145" s="622">
        <f t="shared" si="102"/>
        <v>587.4</v>
      </c>
      <c r="Q145" s="622">
        <f t="shared" si="102"/>
        <v>0</v>
      </c>
      <c r="R145" s="623">
        <f>(Q145/P145*100)</f>
        <v>0</v>
      </c>
    </row>
    <row r="146" spans="1:18">
      <c r="A146" s="568"/>
      <c r="B146" s="568"/>
      <c r="C146" s="611"/>
      <c r="D146" s="569"/>
      <c r="E146" s="569"/>
      <c r="F146" s="569"/>
      <c r="G146" s="570"/>
      <c r="H146" s="570"/>
      <c r="I146" s="612"/>
      <c r="J146" s="570"/>
      <c r="K146" s="570"/>
      <c r="L146" s="612"/>
      <c r="M146" s="570"/>
      <c r="N146" s="570"/>
      <c r="O146" s="612"/>
      <c r="P146" s="570"/>
      <c r="Q146" s="573"/>
      <c r="R146" s="612"/>
    </row>
    <row r="147" spans="1:18">
      <c r="A147" s="568"/>
      <c r="B147" s="568"/>
      <c r="C147" s="611"/>
      <c r="D147" s="569"/>
      <c r="E147" s="569"/>
      <c r="F147" s="569"/>
      <c r="G147" s="570"/>
      <c r="H147" s="570"/>
      <c r="I147" s="612"/>
      <c r="J147" s="570"/>
      <c r="K147" s="570"/>
      <c r="L147" s="612"/>
      <c r="M147" s="570"/>
      <c r="N147" s="570"/>
      <c r="O147" s="612"/>
      <c r="P147" s="570"/>
      <c r="Q147" s="570"/>
      <c r="R147" s="612"/>
    </row>
    <row r="148" spans="1:18">
      <c r="A148" s="606" t="s">
        <v>537</v>
      </c>
      <c r="B148" s="624" t="s">
        <v>398</v>
      </c>
      <c r="C148" s="624"/>
      <c r="D148" s="1626" t="s">
        <v>549</v>
      </c>
      <c r="E148" s="1626"/>
      <c r="F148" s="1626"/>
      <c r="G148" s="1626"/>
      <c r="H148" s="1626"/>
      <c r="I148" s="1626"/>
      <c r="J148" s="1626"/>
      <c r="K148" s="1626"/>
      <c r="L148" s="1626"/>
      <c r="M148" s="1626"/>
      <c r="N148" s="1626"/>
      <c r="O148" s="1626"/>
      <c r="P148" s="1626"/>
      <c r="Q148" s="1626"/>
      <c r="R148" s="1626"/>
    </row>
    <row r="149" spans="1:18">
      <c r="A149" s="1621" t="s">
        <v>500</v>
      </c>
      <c r="B149" s="1622" t="s">
        <v>501</v>
      </c>
      <c r="C149" s="1622" t="s">
        <v>484</v>
      </c>
      <c r="D149" s="1622"/>
      <c r="E149" s="1622" t="s">
        <v>485</v>
      </c>
      <c r="F149" s="1622"/>
      <c r="G149" s="1625" t="s">
        <v>486</v>
      </c>
      <c r="H149" s="1625"/>
      <c r="I149" s="1625"/>
      <c r="J149" s="1625" t="s">
        <v>487</v>
      </c>
      <c r="K149" s="1625"/>
      <c r="L149" s="1625"/>
      <c r="M149" s="1625" t="s">
        <v>488</v>
      </c>
      <c r="N149" s="1625"/>
      <c r="O149" s="1625"/>
      <c r="P149" s="1625" t="s">
        <v>489</v>
      </c>
      <c r="Q149" s="1625"/>
      <c r="R149" s="1625"/>
    </row>
    <row r="150" spans="1:18">
      <c r="A150" s="1621"/>
      <c r="B150" s="1622"/>
      <c r="C150" s="597" t="s">
        <v>530</v>
      </c>
      <c r="D150" s="441" t="s">
        <v>531</v>
      </c>
      <c r="E150" s="441" t="s">
        <v>490</v>
      </c>
      <c r="F150" s="441" t="s">
        <v>531</v>
      </c>
      <c r="G150" s="441" t="s">
        <v>490</v>
      </c>
      <c r="H150" s="441" t="s">
        <v>531</v>
      </c>
      <c r="I150" s="598" t="s">
        <v>532</v>
      </c>
      <c r="J150" s="441" t="s">
        <v>490</v>
      </c>
      <c r="K150" s="441" t="s">
        <v>531</v>
      </c>
      <c r="L150" s="598" t="s">
        <v>532</v>
      </c>
      <c r="M150" s="441" t="s">
        <v>490</v>
      </c>
      <c r="N150" s="441" t="s">
        <v>531</v>
      </c>
      <c r="O150" s="598" t="s">
        <v>532</v>
      </c>
      <c r="P150" s="441" t="s">
        <v>490</v>
      </c>
      <c r="Q150" s="441" t="s">
        <v>531</v>
      </c>
      <c r="R150" s="598" t="s">
        <v>532</v>
      </c>
    </row>
    <row r="151" spans="1:18">
      <c r="A151" s="560" t="s">
        <v>10</v>
      </c>
      <c r="B151" s="560">
        <v>6</v>
      </c>
      <c r="C151" s="561">
        <v>214.5</v>
      </c>
      <c r="D151" s="561">
        <v>4.67</v>
      </c>
      <c r="E151" s="561">
        <v>250.47</v>
      </c>
      <c r="F151" s="561">
        <v>0</v>
      </c>
      <c r="G151" s="562">
        <f>C151+E151</f>
        <v>464.97</v>
      </c>
      <c r="H151" s="599">
        <f>D151+F151</f>
        <v>4.67</v>
      </c>
      <c r="I151" s="600">
        <f>(H151/G151*100)</f>
        <v>1.0043658730670795</v>
      </c>
      <c r="J151" s="561">
        <v>176.55</v>
      </c>
      <c r="K151" s="561">
        <v>1.1000000000000001</v>
      </c>
      <c r="L151" s="600">
        <f>(K151/J151*100)</f>
        <v>0.62305295950155759</v>
      </c>
      <c r="M151" s="561">
        <v>1122.22</v>
      </c>
      <c r="N151" s="561">
        <v>0</v>
      </c>
      <c r="O151" s="600">
        <f>(N151/M151*100)</f>
        <v>0</v>
      </c>
      <c r="P151" s="562">
        <f>G151+J151+M151</f>
        <v>1763.74</v>
      </c>
      <c r="Q151" s="599">
        <f>H151+K151+N151</f>
        <v>5.77</v>
      </c>
      <c r="R151" s="600">
        <f>(Q151/P151*100)</f>
        <v>0.32714572442650275</v>
      </c>
    </row>
    <row r="152" spans="1:18">
      <c r="A152" s="442" t="s">
        <v>502</v>
      </c>
      <c r="B152" s="442">
        <v>6</v>
      </c>
      <c r="C152" s="443">
        <f>SUM(C151)</f>
        <v>214.5</v>
      </c>
      <c r="D152" s="599">
        <f>D151</f>
        <v>4.67</v>
      </c>
      <c r="E152" s="599">
        <f>SUM(E151)</f>
        <v>250.47</v>
      </c>
      <c r="F152" s="599">
        <v>0</v>
      </c>
      <c r="G152" s="562">
        <f t="shared" ref="G152:G154" si="103">C152+E152</f>
        <v>464.97</v>
      </c>
      <c r="H152" s="599">
        <f t="shared" ref="H152:H154" si="104">D152+F152</f>
        <v>4.67</v>
      </c>
      <c r="I152" s="600">
        <f t="shared" ref="I152:I154" si="105">(H152/G152*100)</f>
        <v>1.0043658730670795</v>
      </c>
      <c r="J152" s="599">
        <f>SUM(J151)</f>
        <v>176.55</v>
      </c>
      <c r="K152" s="561">
        <v>1.1000000000000001</v>
      </c>
      <c r="L152" s="600">
        <f>(K152/J152*100)</f>
        <v>0.62305295950155759</v>
      </c>
      <c r="M152" s="599">
        <f>SUM(M151)</f>
        <v>1122.22</v>
      </c>
      <c r="N152" s="599">
        <f>SUM(N151)</f>
        <v>0</v>
      </c>
      <c r="O152" s="600">
        <f>(N152/M152*100)</f>
        <v>0</v>
      </c>
      <c r="P152" s="562">
        <f t="shared" ref="P152:P154" si="106">G152+J152+M152</f>
        <v>1763.74</v>
      </c>
      <c r="Q152" s="599">
        <f t="shared" ref="Q152:Q154" si="107">H152+K152+N152</f>
        <v>5.77</v>
      </c>
      <c r="R152" s="600">
        <f>(Q152/P152*100)</f>
        <v>0.32714572442650275</v>
      </c>
    </row>
    <row r="153" spans="1:18">
      <c r="A153" s="442" t="s">
        <v>507</v>
      </c>
      <c r="B153" s="442">
        <v>3</v>
      </c>
      <c r="C153" s="561">
        <v>12.32</v>
      </c>
      <c r="D153" s="561">
        <v>0</v>
      </c>
      <c r="E153" s="561">
        <v>278.85000000000002</v>
      </c>
      <c r="F153" s="561">
        <v>0</v>
      </c>
      <c r="G153" s="562">
        <f t="shared" si="103"/>
        <v>291.17</v>
      </c>
      <c r="H153" s="599">
        <f t="shared" si="104"/>
        <v>0</v>
      </c>
      <c r="I153" s="600">
        <f t="shared" si="105"/>
        <v>0</v>
      </c>
      <c r="J153" s="561">
        <v>17.88</v>
      </c>
      <c r="K153" s="561">
        <v>0</v>
      </c>
      <c r="L153" s="600">
        <f t="shared" ref="L153:L154" si="108">(K153/J153*100)</f>
        <v>0</v>
      </c>
      <c r="M153" s="561">
        <v>171.22</v>
      </c>
      <c r="N153" s="561">
        <v>0</v>
      </c>
      <c r="O153" s="600">
        <f t="shared" ref="O153:O154" si="109">(N153/M153*100)</f>
        <v>0</v>
      </c>
      <c r="P153" s="562">
        <f t="shared" si="106"/>
        <v>480.27</v>
      </c>
      <c r="Q153" s="599">
        <f t="shared" si="107"/>
        <v>0</v>
      </c>
      <c r="R153" s="600">
        <f t="shared" ref="R153:R154" si="110">(Q153/P153*100)</f>
        <v>0</v>
      </c>
    </row>
    <row r="154" spans="1:18">
      <c r="A154" s="442" t="s">
        <v>505</v>
      </c>
      <c r="B154" s="442">
        <v>9</v>
      </c>
      <c r="C154" s="443">
        <f t="shared" ref="C154:N154" si="111">SUM(C152:C153)</f>
        <v>226.82</v>
      </c>
      <c r="D154" s="443">
        <f t="shared" si="111"/>
        <v>4.67</v>
      </c>
      <c r="E154" s="443">
        <f t="shared" si="111"/>
        <v>529.32000000000005</v>
      </c>
      <c r="F154" s="443">
        <f t="shared" si="111"/>
        <v>0</v>
      </c>
      <c r="G154" s="562">
        <f t="shared" si="103"/>
        <v>756.1400000000001</v>
      </c>
      <c r="H154" s="599">
        <f t="shared" si="104"/>
        <v>4.67</v>
      </c>
      <c r="I154" s="600">
        <f t="shared" si="105"/>
        <v>0.61761049541090263</v>
      </c>
      <c r="J154" s="443">
        <f t="shared" si="111"/>
        <v>194.43</v>
      </c>
      <c r="K154" s="443">
        <f t="shared" si="111"/>
        <v>1.1000000000000001</v>
      </c>
      <c r="L154" s="600">
        <f t="shared" si="108"/>
        <v>0.56575631332613285</v>
      </c>
      <c r="M154" s="443">
        <f t="shared" si="111"/>
        <v>1293.44</v>
      </c>
      <c r="N154" s="443">
        <f t="shared" si="111"/>
        <v>0</v>
      </c>
      <c r="O154" s="600">
        <f t="shared" si="109"/>
        <v>0</v>
      </c>
      <c r="P154" s="562">
        <f t="shared" si="106"/>
        <v>2244.0100000000002</v>
      </c>
      <c r="Q154" s="599">
        <f t="shared" si="107"/>
        <v>5.77</v>
      </c>
      <c r="R154" s="600">
        <f t="shared" si="110"/>
        <v>0.2571289789261188</v>
      </c>
    </row>
    <row r="155" spans="1:18">
      <c r="A155" s="563"/>
      <c r="B155" s="563"/>
      <c r="C155" s="610"/>
      <c r="D155" s="579"/>
      <c r="E155" s="579"/>
      <c r="F155" s="579"/>
      <c r="G155" s="567"/>
      <c r="H155" s="567"/>
      <c r="I155" s="609"/>
      <c r="J155" s="567"/>
      <c r="K155" s="567"/>
      <c r="L155" s="609"/>
      <c r="M155" s="567"/>
      <c r="N155" s="567"/>
      <c r="O155" s="609"/>
      <c r="P155" s="567"/>
      <c r="Q155" s="567"/>
      <c r="R155" s="609"/>
    </row>
    <row r="156" spans="1:18">
      <c r="A156" s="574"/>
      <c r="B156" s="574"/>
      <c r="C156" s="610"/>
      <c r="D156" s="579"/>
      <c r="E156" s="579"/>
      <c r="F156" s="579"/>
      <c r="G156" s="567"/>
      <c r="H156" s="567"/>
      <c r="I156" s="609"/>
      <c r="J156" s="567"/>
      <c r="K156" s="567"/>
      <c r="L156" s="609"/>
      <c r="M156" s="567"/>
      <c r="N156" s="567"/>
      <c r="O156" s="609"/>
      <c r="P156" s="567"/>
      <c r="Q156" s="567"/>
      <c r="R156" s="609"/>
    </row>
    <row r="157" spans="1:18">
      <c r="A157" s="606" t="s">
        <v>537</v>
      </c>
      <c r="B157" s="624" t="s">
        <v>397</v>
      </c>
      <c r="C157" s="624"/>
      <c r="D157" s="1626" t="s">
        <v>549</v>
      </c>
      <c r="E157" s="1626"/>
      <c r="F157" s="1626"/>
      <c r="G157" s="1626"/>
      <c r="H157" s="1626"/>
      <c r="I157" s="1626"/>
      <c r="J157" s="1626"/>
      <c r="K157" s="1626"/>
      <c r="L157" s="1626"/>
      <c r="M157" s="1626"/>
      <c r="N157" s="1626"/>
      <c r="O157" s="1626"/>
      <c r="P157" s="1626"/>
      <c r="Q157" s="1626"/>
      <c r="R157" s="1626"/>
    </row>
    <row r="158" spans="1:18">
      <c r="A158" s="1621" t="s">
        <v>500</v>
      </c>
      <c r="B158" s="1622" t="s">
        <v>501</v>
      </c>
      <c r="C158" s="1622" t="s">
        <v>484</v>
      </c>
      <c r="D158" s="1622"/>
      <c r="E158" s="1622" t="s">
        <v>485</v>
      </c>
      <c r="F158" s="1622"/>
      <c r="G158" s="1625" t="s">
        <v>486</v>
      </c>
      <c r="H158" s="1625"/>
      <c r="I158" s="1625"/>
      <c r="J158" s="1625" t="s">
        <v>487</v>
      </c>
      <c r="K158" s="1625"/>
      <c r="L158" s="1625"/>
      <c r="M158" s="1625" t="s">
        <v>488</v>
      </c>
      <c r="N158" s="1625"/>
      <c r="O158" s="1625"/>
      <c r="P158" s="1625" t="s">
        <v>489</v>
      </c>
      <c r="Q158" s="1625"/>
      <c r="R158" s="1625"/>
    </row>
    <row r="159" spans="1:18">
      <c r="A159" s="1621"/>
      <c r="B159" s="1622"/>
      <c r="C159" s="597" t="s">
        <v>530</v>
      </c>
      <c r="D159" s="441" t="s">
        <v>531</v>
      </c>
      <c r="E159" s="441" t="s">
        <v>490</v>
      </c>
      <c r="F159" s="441" t="s">
        <v>531</v>
      </c>
      <c r="G159" s="441" t="s">
        <v>490</v>
      </c>
      <c r="H159" s="441" t="s">
        <v>531</v>
      </c>
      <c r="I159" s="598" t="s">
        <v>532</v>
      </c>
      <c r="J159" s="441" t="s">
        <v>490</v>
      </c>
      <c r="K159" s="441" t="s">
        <v>531</v>
      </c>
      <c r="L159" s="598" t="s">
        <v>532</v>
      </c>
      <c r="M159" s="441" t="s">
        <v>490</v>
      </c>
      <c r="N159" s="441" t="s">
        <v>531</v>
      </c>
      <c r="O159" s="598" t="s">
        <v>532</v>
      </c>
      <c r="P159" s="441" t="s">
        <v>490</v>
      </c>
      <c r="Q159" s="441" t="s">
        <v>531</v>
      </c>
      <c r="R159" s="598" t="s">
        <v>532</v>
      </c>
    </row>
    <row r="160" spans="1:18">
      <c r="A160" s="560" t="s">
        <v>10</v>
      </c>
      <c r="B160" s="560">
        <v>2</v>
      </c>
      <c r="C160" s="561">
        <v>71.5</v>
      </c>
      <c r="D160" s="561">
        <v>0.6</v>
      </c>
      <c r="E160" s="561">
        <v>83.49</v>
      </c>
      <c r="F160" s="561">
        <v>0</v>
      </c>
      <c r="G160" s="562">
        <f>C160+E160</f>
        <v>154.99</v>
      </c>
      <c r="H160" s="599">
        <f>D160+F160</f>
        <v>0.6</v>
      </c>
      <c r="I160" s="600">
        <f>(H160/G160*100)</f>
        <v>0.387121749790309</v>
      </c>
      <c r="J160" s="561">
        <v>58.85</v>
      </c>
      <c r="K160" s="561">
        <v>0</v>
      </c>
      <c r="L160" s="600">
        <f>(K160/J160*100)</f>
        <v>0</v>
      </c>
      <c r="M160" s="561">
        <v>374</v>
      </c>
      <c r="N160" s="561">
        <v>0</v>
      </c>
      <c r="O160" s="600">
        <f>(N160/M160*100)</f>
        <v>0</v>
      </c>
      <c r="P160" s="562">
        <f>G160+J160+M160</f>
        <v>587.84</v>
      </c>
      <c r="Q160" s="599">
        <f>H160+K160+N160</f>
        <v>0.6</v>
      </c>
      <c r="R160" s="600">
        <f>(Q160/P160*100)</f>
        <v>0.10206859009254218</v>
      </c>
    </row>
    <row r="161" spans="1:18">
      <c r="A161" s="442" t="s">
        <v>502</v>
      </c>
      <c r="B161" s="442">
        <f>SUM(B160)</f>
        <v>2</v>
      </c>
      <c r="C161" s="443">
        <f>SUM(C160)</f>
        <v>71.5</v>
      </c>
      <c r="D161" s="599">
        <f>D160</f>
        <v>0.6</v>
      </c>
      <c r="E161" s="599">
        <f>SUM(E160)</f>
        <v>83.49</v>
      </c>
      <c r="F161" s="599">
        <f>SUM(F160)</f>
        <v>0</v>
      </c>
      <c r="G161" s="562">
        <f t="shared" ref="G161:G163" si="112">C161+E161</f>
        <v>154.99</v>
      </c>
      <c r="H161" s="599">
        <f t="shared" ref="H161:H163" si="113">D161+F161</f>
        <v>0.6</v>
      </c>
      <c r="I161" s="600">
        <f>(H161/G161*100)</f>
        <v>0.387121749790309</v>
      </c>
      <c r="J161" s="599">
        <f>SUM(J160)</f>
        <v>58.85</v>
      </c>
      <c r="K161" s="599">
        <f>SUM(K160)</f>
        <v>0</v>
      </c>
      <c r="L161" s="600">
        <f>(K161/J161*100)</f>
        <v>0</v>
      </c>
      <c r="M161" s="599">
        <f>SUM(M160)</f>
        <v>374</v>
      </c>
      <c r="N161" s="599">
        <f>SUM(N160)</f>
        <v>0</v>
      </c>
      <c r="O161" s="600">
        <f>(N161/M161*100)</f>
        <v>0</v>
      </c>
      <c r="P161" s="562">
        <f t="shared" ref="P161:P163" si="114">G161+J161+M161</f>
        <v>587.84</v>
      </c>
      <c r="Q161" s="599">
        <f t="shared" ref="Q161:Q163" si="115">H161+K161+N161</f>
        <v>0.6</v>
      </c>
      <c r="R161" s="600">
        <f>(Q161/P161*100)</f>
        <v>0.10206859009254218</v>
      </c>
    </row>
    <row r="162" spans="1:18">
      <c r="A162" s="442" t="s">
        <v>507</v>
      </c>
      <c r="B162" s="442">
        <v>2</v>
      </c>
      <c r="C162" s="561">
        <v>8.25</v>
      </c>
      <c r="D162" s="561">
        <v>0</v>
      </c>
      <c r="E162" s="561">
        <v>185.9</v>
      </c>
      <c r="F162" s="561">
        <v>0</v>
      </c>
      <c r="G162" s="562">
        <f t="shared" si="112"/>
        <v>194.15</v>
      </c>
      <c r="H162" s="599">
        <f t="shared" si="113"/>
        <v>0</v>
      </c>
      <c r="I162" s="600">
        <f t="shared" ref="I162:I163" si="116">(H162/G162*100)</f>
        <v>0</v>
      </c>
      <c r="J162" s="561">
        <v>11.94</v>
      </c>
      <c r="K162" s="561">
        <v>0</v>
      </c>
      <c r="L162" s="600">
        <f t="shared" ref="L162:L163" si="117">(K162/J162*100)</f>
        <v>0</v>
      </c>
      <c r="M162" s="561">
        <v>114.18</v>
      </c>
      <c r="N162" s="561">
        <v>0</v>
      </c>
      <c r="O162" s="600">
        <f t="shared" ref="O162:O163" si="118">(N162/M162*100)</f>
        <v>0</v>
      </c>
      <c r="P162" s="562">
        <f t="shared" si="114"/>
        <v>320.27</v>
      </c>
      <c r="Q162" s="599">
        <f t="shared" si="115"/>
        <v>0</v>
      </c>
      <c r="R162" s="600">
        <f t="shared" ref="R162:R163" si="119">(Q162/P162*100)</f>
        <v>0</v>
      </c>
    </row>
    <row r="163" spans="1:18">
      <c r="A163" s="442" t="s">
        <v>505</v>
      </c>
      <c r="B163" s="442">
        <f>SUM(B161:B162)</f>
        <v>4</v>
      </c>
      <c r="C163" s="443">
        <f>SUM(C161:C162)</f>
        <v>79.75</v>
      </c>
      <c r="D163" s="443">
        <f t="shared" ref="D163:N163" si="120">SUM(D161:D162)</f>
        <v>0.6</v>
      </c>
      <c r="E163" s="443">
        <f t="shared" si="120"/>
        <v>269.39</v>
      </c>
      <c r="F163" s="443">
        <f t="shared" si="120"/>
        <v>0</v>
      </c>
      <c r="G163" s="562">
        <f t="shared" si="112"/>
        <v>349.14</v>
      </c>
      <c r="H163" s="599">
        <f t="shared" si="113"/>
        <v>0.6</v>
      </c>
      <c r="I163" s="600">
        <f t="shared" si="116"/>
        <v>0.17185083347654237</v>
      </c>
      <c r="J163" s="443">
        <f t="shared" si="120"/>
        <v>70.790000000000006</v>
      </c>
      <c r="K163" s="443">
        <f t="shared" si="120"/>
        <v>0</v>
      </c>
      <c r="L163" s="600">
        <f t="shared" si="117"/>
        <v>0</v>
      </c>
      <c r="M163" s="443">
        <f t="shared" si="120"/>
        <v>488.18</v>
      </c>
      <c r="N163" s="443">
        <f t="shared" si="120"/>
        <v>0</v>
      </c>
      <c r="O163" s="600">
        <f t="shared" si="118"/>
        <v>0</v>
      </c>
      <c r="P163" s="562">
        <f t="shared" si="114"/>
        <v>908.11</v>
      </c>
      <c r="Q163" s="599">
        <f t="shared" si="115"/>
        <v>0.6</v>
      </c>
      <c r="R163" s="600">
        <f t="shared" si="119"/>
        <v>6.6071290922905812E-2</v>
      </c>
    </row>
    <row r="164" spans="1:18">
      <c r="A164" s="574"/>
      <c r="B164" s="574"/>
      <c r="C164" s="580"/>
      <c r="D164" s="567"/>
      <c r="E164" s="567"/>
      <c r="F164" s="567"/>
      <c r="G164" s="567"/>
      <c r="H164" s="567"/>
      <c r="I164" s="609"/>
      <c r="J164" s="567"/>
      <c r="K164" s="567"/>
      <c r="L164" s="609"/>
      <c r="M164" s="567"/>
      <c r="N164" s="567"/>
      <c r="O164" s="609"/>
      <c r="P164" s="567"/>
      <c r="Q164" s="567"/>
      <c r="R164" s="609"/>
    </row>
    <row r="165" spans="1:18">
      <c r="A165" s="568"/>
      <c r="B165" s="568"/>
      <c r="C165" s="611"/>
      <c r="D165" s="569"/>
      <c r="E165" s="569"/>
      <c r="F165" s="569"/>
      <c r="G165" s="570"/>
      <c r="H165" s="570"/>
      <c r="I165" s="612"/>
      <c r="J165" s="570"/>
      <c r="K165" s="570"/>
      <c r="L165" s="612"/>
      <c r="M165" s="570"/>
      <c r="N165" s="570"/>
      <c r="O165" s="612"/>
      <c r="P165" s="570"/>
      <c r="Q165" s="570"/>
      <c r="R165" s="612"/>
    </row>
    <row r="166" spans="1:18">
      <c r="A166" s="568"/>
      <c r="B166" s="568"/>
      <c r="C166" s="611"/>
      <c r="D166" s="569"/>
      <c r="E166" s="569"/>
      <c r="F166" s="569"/>
      <c r="G166" s="570"/>
      <c r="H166" s="570"/>
      <c r="I166" s="612"/>
      <c r="J166" s="570"/>
      <c r="K166" s="570"/>
      <c r="L166" s="612"/>
      <c r="M166" s="570"/>
      <c r="N166" s="570"/>
      <c r="O166" s="612"/>
      <c r="P166" s="570"/>
      <c r="Q166" s="570"/>
      <c r="R166" s="612"/>
    </row>
    <row r="167" spans="1:18" ht="15.75">
      <c r="A167" s="1628">
        <v>88</v>
      </c>
      <c r="B167" s="1628"/>
      <c r="C167" s="1628"/>
      <c r="D167" s="1628"/>
      <c r="E167" s="1628"/>
      <c r="F167" s="1628"/>
      <c r="G167" s="1628"/>
      <c r="H167" s="1628"/>
      <c r="I167" s="1628"/>
      <c r="J167" s="1628"/>
      <c r="K167" s="1628"/>
      <c r="L167" s="1628"/>
      <c r="M167" s="1628"/>
      <c r="N167" s="1628"/>
      <c r="O167" s="1628"/>
      <c r="P167" s="1628"/>
      <c r="Q167" s="1628"/>
      <c r="R167" s="1628"/>
    </row>
    <row r="168" spans="1:18">
      <c r="A168" s="606" t="s">
        <v>537</v>
      </c>
      <c r="B168" s="624" t="s">
        <v>550</v>
      </c>
      <c r="C168" s="624"/>
      <c r="D168" s="577" t="s">
        <v>549</v>
      </c>
      <c r="E168" s="577"/>
      <c r="F168" s="577"/>
      <c r="G168" s="577"/>
      <c r="H168" s="577"/>
      <c r="I168" s="577"/>
      <c r="J168" s="577"/>
      <c r="K168" s="577"/>
      <c r="L168" s="577"/>
      <c r="M168" s="577"/>
      <c r="N168" s="577"/>
      <c r="O168" s="577"/>
      <c r="P168" s="577"/>
      <c r="Q168" s="1627" t="s">
        <v>315</v>
      </c>
      <c r="R168" s="1627"/>
    </row>
    <row r="169" spans="1:18">
      <c r="A169" s="1621" t="s">
        <v>500</v>
      </c>
      <c r="B169" s="1622" t="s">
        <v>501</v>
      </c>
      <c r="C169" s="1622" t="s">
        <v>484</v>
      </c>
      <c r="D169" s="1622"/>
      <c r="E169" s="1622" t="s">
        <v>485</v>
      </c>
      <c r="F169" s="1622"/>
      <c r="G169" s="1625" t="s">
        <v>486</v>
      </c>
      <c r="H169" s="1625"/>
      <c r="I169" s="1625"/>
      <c r="J169" s="1625" t="s">
        <v>487</v>
      </c>
      <c r="K169" s="1625"/>
      <c r="L169" s="1625"/>
      <c r="M169" s="1625" t="s">
        <v>488</v>
      </c>
      <c r="N169" s="1625"/>
      <c r="O169" s="1625"/>
      <c r="P169" s="1625" t="s">
        <v>489</v>
      </c>
      <c r="Q169" s="1625"/>
      <c r="R169" s="1625"/>
    </row>
    <row r="170" spans="1:18">
      <c r="A170" s="1621"/>
      <c r="B170" s="1622"/>
      <c r="C170" s="597" t="s">
        <v>530</v>
      </c>
      <c r="D170" s="441" t="s">
        <v>531</v>
      </c>
      <c r="E170" s="441" t="s">
        <v>490</v>
      </c>
      <c r="F170" s="441" t="s">
        <v>531</v>
      </c>
      <c r="G170" s="441" t="s">
        <v>490</v>
      </c>
      <c r="H170" s="441" t="s">
        <v>531</v>
      </c>
      <c r="I170" s="598" t="s">
        <v>532</v>
      </c>
      <c r="J170" s="441" t="s">
        <v>490</v>
      </c>
      <c r="K170" s="441" t="s">
        <v>531</v>
      </c>
      <c r="L170" s="598" t="s">
        <v>532</v>
      </c>
      <c r="M170" s="441" t="s">
        <v>490</v>
      </c>
      <c r="N170" s="441" t="s">
        <v>531</v>
      </c>
      <c r="O170" s="598" t="s">
        <v>532</v>
      </c>
      <c r="P170" s="441" t="s">
        <v>490</v>
      </c>
      <c r="Q170" s="441" t="s">
        <v>531</v>
      </c>
      <c r="R170" s="598" t="s">
        <v>532</v>
      </c>
    </row>
    <row r="171" spans="1:18">
      <c r="A171" s="560" t="s">
        <v>10</v>
      </c>
      <c r="B171" s="560">
        <v>3</v>
      </c>
      <c r="C171" s="561">
        <v>106.7</v>
      </c>
      <c r="D171" s="561">
        <v>0</v>
      </c>
      <c r="E171" s="561">
        <v>125.29</v>
      </c>
      <c r="F171" s="561">
        <v>0</v>
      </c>
      <c r="G171" s="562">
        <f>C171+E171</f>
        <v>231.99</v>
      </c>
      <c r="H171" s="562">
        <v>0</v>
      </c>
      <c r="I171" s="562">
        <v>0</v>
      </c>
      <c r="J171" s="561">
        <v>88.22</v>
      </c>
      <c r="K171" s="561">
        <v>0</v>
      </c>
      <c r="L171" s="561">
        <v>0</v>
      </c>
      <c r="M171" s="561">
        <v>561</v>
      </c>
      <c r="N171" s="561">
        <v>9.94</v>
      </c>
      <c r="O171" s="600">
        <f>(N171/M171*100)</f>
        <v>1.7718360071301249</v>
      </c>
      <c r="P171" s="562">
        <f>G171+J171+M171</f>
        <v>881.21</v>
      </c>
      <c r="Q171" s="599">
        <f>H171+K171+N171</f>
        <v>9.94</v>
      </c>
      <c r="R171" s="600">
        <f>(Q171/P171*100)</f>
        <v>1.1279944621599844</v>
      </c>
    </row>
    <row r="172" spans="1:18">
      <c r="A172" s="442" t="s">
        <v>502</v>
      </c>
      <c r="B172" s="442">
        <f>SUM(B171)</f>
        <v>3</v>
      </c>
      <c r="C172" s="443">
        <f>SUM(C171)</f>
        <v>106.7</v>
      </c>
      <c r="D172" s="599">
        <v>0</v>
      </c>
      <c r="E172" s="599">
        <f>SUM(E171)</f>
        <v>125.29</v>
      </c>
      <c r="F172" s="599">
        <v>0</v>
      </c>
      <c r="G172" s="599">
        <f>E172+C172</f>
        <v>231.99</v>
      </c>
      <c r="H172" s="599">
        <v>0</v>
      </c>
      <c r="I172" s="600">
        <f>(H172/G172*100)</f>
        <v>0</v>
      </c>
      <c r="J172" s="599">
        <f>SUM(J171)</f>
        <v>88.22</v>
      </c>
      <c r="K172" s="599">
        <v>0</v>
      </c>
      <c r="L172" s="600">
        <f>(K172/J172*100)</f>
        <v>0</v>
      </c>
      <c r="M172" s="599">
        <f>SUM(M171)</f>
        <v>561</v>
      </c>
      <c r="N172" s="561">
        <v>9.94</v>
      </c>
      <c r="O172" s="600">
        <f>(N172/M172*100)</f>
        <v>1.7718360071301249</v>
      </c>
      <c r="P172" s="599">
        <f>G172+J172+M172</f>
        <v>881.21</v>
      </c>
      <c r="Q172" s="599">
        <f>H172+K172+N172</f>
        <v>9.94</v>
      </c>
      <c r="R172" s="600">
        <f>(Q172/P172*100)</f>
        <v>1.1279944621599844</v>
      </c>
    </row>
    <row r="173" spans="1:18">
      <c r="A173" s="563"/>
      <c r="B173" s="563"/>
      <c r="C173" s="601"/>
      <c r="D173" s="564"/>
      <c r="E173" s="565"/>
      <c r="F173" s="565"/>
      <c r="G173" s="565"/>
      <c r="H173" s="565"/>
      <c r="I173" s="603"/>
      <c r="J173" s="565"/>
      <c r="K173" s="565"/>
      <c r="L173" s="603"/>
      <c r="M173" s="565"/>
      <c r="N173" s="565"/>
      <c r="O173" s="603"/>
      <c r="P173" s="565"/>
      <c r="Q173" s="565"/>
      <c r="R173" s="603"/>
    </row>
    <row r="174" spans="1:18">
      <c r="A174" s="606" t="s">
        <v>539</v>
      </c>
      <c r="B174" s="625" t="s">
        <v>551</v>
      </c>
      <c r="C174" s="624"/>
      <c r="D174" s="1626" t="s">
        <v>552</v>
      </c>
      <c r="E174" s="1626"/>
      <c r="F174" s="1626"/>
      <c r="G174" s="1626"/>
      <c r="H174" s="1626"/>
      <c r="I174" s="1626"/>
      <c r="J174" s="1626"/>
      <c r="K174" s="1626"/>
      <c r="L174" s="1626"/>
      <c r="M174" s="1626"/>
      <c r="N174" s="1626"/>
      <c r="O174" s="1626"/>
      <c r="P174" s="1626"/>
      <c r="Q174" s="1626"/>
      <c r="R174" s="1626"/>
    </row>
    <row r="175" spans="1:18">
      <c r="A175" s="1621" t="s">
        <v>500</v>
      </c>
      <c r="B175" s="1622" t="s">
        <v>510</v>
      </c>
      <c r="C175" s="1622" t="s">
        <v>484</v>
      </c>
      <c r="D175" s="1622"/>
      <c r="E175" s="1622" t="s">
        <v>485</v>
      </c>
      <c r="F175" s="1622"/>
      <c r="G175" s="1625" t="s">
        <v>486</v>
      </c>
      <c r="H175" s="1625"/>
      <c r="I175" s="1625"/>
      <c r="J175" s="1625" t="s">
        <v>487</v>
      </c>
      <c r="K175" s="1625"/>
      <c r="L175" s="1625"/>
      <c r="M175" s="1625" t="s">
        <v>488</v>
      </c>
      <c r="N175" s="1625"/>
      <c r="O175" s="1625"/>
      <c r="P175" s="1625" t="s">
        <v>489</v>
      </c>
      <c r="Q175" s="1625"/>
      <c r="R175" s="1625"/>
    </row>
    <row r="176" spans="1:18">
      <c r="A176" s="1621"/>
      <c r="B176" s="1622"/>
      <c r="C176" s="597" t="s">
        <v>530</v>
      </c>
      <c r="D176" s="441" t="s">
        <v>531</v>
      </c>
      <c r="E176" s="441" t="s">
        <v>490</v>
      </c>
      <c r="F176" s="441" t="s">
        <v>531</v>
      </c>
      <c r="G176" s="441" t="s">
        <v>490</v>
      </c>
      <c r="H176" s="441" t="s">
        <v>531</v>
      </c>
      <c r="I176" s="598" t="s">
        <v>532</v>
      </c>
      <c r="J176" s="441" t="s">
        <v>490</v>
      </c>
      <c r="K176" s="441" t="s">
        <v>531</v>
      </c>
      <c r="L176" s="598" t="s">
        <v>532</v>
      </c>
      <c r="M176" s="441" t="s">
        <v>490</v>
      </c>
      <c r="N176" s="441" t="s">
        <v>531</v>
      </c>
      <c r="O176" s="598" t="s">
        <v>532</v>
      </c>
      <c r="P176" s="441" t="s">
        <v>490</v>
      </c>
      <c r="Q176" s="441" t="s">
        <v>531</v>
      </c>
      <c r="R176" s="598" t="s">
        <v>532</v>
      </c>
    </row>
    <row r="177" spans="1:18">
      <c r="A177" s="582" t="s">
        <v>10</v>
      </c>
      <c r="B177" s="582">
        <v>9</v>
      </c>
      <c r="C177" s="561">
        <v>275</v>
      </c>
      <c r="D177" s="561">
        <v>0.5</v>
      </c>
      <c r="E177" s="561">
        <v>310.52999999999997</v>
      </c>
      <c r="F177" s="561">
        <v>0</v>
      </c>
      <c r="G177" s="583">
        <f>C177+E177</f>
        <v>585.53</v>
      </c>
      <c r="H177" s="627">
        <f t="shared" ref="H177:H204" si="121">D177+F177</f>
        <v>0.5</v>
      </c>
      <c r="I177" s="627">
        <f t="shared" ref="I177:I204" si="122">H177/G177%</f>
        <v>8.5392721124451357E-2</v>
      </c>
      <c r="J177" s="561">
        <v>235.4</v>
      </c>
      <c r="K177" s="561">
        <v>38.200000000000003</v>
      </c>
      <c r="L177" s="561">
        <f>K177/J177%</f>
        <v>16.227697536108753</v>
      </c>
      <c r="M177" s="561">
        <v>1578.5</v>
      </c>
      <c r="N177" s="561">
        <v>335.69</v>
      </c>
      <c r="O177" s="561">
        <f>N177/M177%</f>
        <v>21.266392144440925</v>
      </c>
      <c r="P177" s="583">
        <f>G177+J177+M177</f>
        <v>2399.4299999999998</v>
      </c>
      <c r="Q177" s="583">
        <f>N177+K177+H177</f>
        <v>374.39</v>
      </c>
      <c r="R177" s="583">
        <f>Q177/P177%</f>
        <v>15.603289114498027</v>
      </c>
    </row>
    <row r="178" spans="1:18">
      <c r="A178" s="444" t="s">
        <v>17</v>
      </c>
      <c r="B178" s="444">
        <v>1</v>
      </c>
      <c r="C178" s="561">
        <v>50.6</v>
      </c>
      <c r="D178" s="561">
        <v>1.8</v>
      </c>
      <c r="E178" s="561">
        <v>53.35</v>
      </c>
      <c r="F178" s="561">
        <v>0</v>
      </c>
      <c r="G178" s="583">
        <f t="shared" ref="G178:G203" si="123">C178+E178</f>
        <v>103.95</v>
      </c>
      <c r="H178" s="627">
        <f t="shared" si="121"/>
        <v>1.8</v>
      </c>
      <c r="I178" s="627">
        <f t="shared" si="122"/>
        <v>1.7316017316017316</v>
      </c>
      <c r="J178" s="561">
        <v>22.48</v>
      </c>
      <c r="K178" s="561">
        <v>0</v>
      </c>
      <c r="L178" s="561">
        <f t="shared" ref="L178:L204" si="124">K178/J178%</f>
        <v>0</v>
      </c>
      <c r="M178" s="561">
        <v>54.07</v>
      </c>
      <c r="N178" s="561">
        <v>11.07</v>
      </c>
      <c r="O178" s="561">
        <f t="shared" ref="O178:O204" si="125">N178/M178%</f>
        <v>20.473460329202886</v>
      </c>
      <c r="P178" s="583">
        <f t="shared" ref="P178:P204" si="126">G178+J178+M178</f>
        <v>180.5</v>
      </c>
      <c r="Q178" s="583">
        <f t="shared" ref="Q178:Q204" si="127">N178+K178+H178</f>
        <v>12.870000000000001</v>
      </c>
      <c r="R178" s="583">
        <f t="shared" ref="R178:R204" si="128">Q178/P178%</f>
        <v>7.1301939058171753</v>
      </c>
    </row>
    <row r="179" spans="1:18">
      <c r="A179" s="444" t="s">
        <v>491</v>
      </c>
      <c r="B179" s="444">
        <v>2</v>
      </c>
      <c r="C179" s="561">
        <v>163.13</v>
      </c>
      <c r="D179" s="561">
        <v>18.5</v>
      </c>
      <c r="E179" s="561">
        <v>550.77</v>
      </c>
      <c r="F179" s="561">
        <v>37.46</v>
      </c>
      <c r="G179" s="583">
        <f t="shared" si="123"/>
        <v>713.9</v>
      </c>
      <c r="H179" s="627">
        <f t="shared" si="121"/>
        <v>55.96</v>
      </c>
      <c r="I179" s="627">
        <f t="shared" si="122"/>
        <v>7.8386328617453431</v>
      </c>
      <c r="J179" s="561">
        <v>622.6</v>
      </c>
      <c r="K179" s="561">
        <v>25</v>
      </c>
      <c r="L179" s="561">
        <f t="shared" si="124"/>
        <v>4.0154192097654997</v>
      </c>
      <c r="M179" s="561">
        <v>1752.3</v>
      </c>
      <c r="N179" s="561">
        <v>55</v>
      </c>
      <c r="O179" s="561">
        <f t="shared" si="125"/>
        <v>3.1387319522912742</v>
      </c>
      <c r="P179" s="583">
        <f t="shared" si="126"/>
        <v>3088.8</v>
      </c>
      <c r="Q179" s="583">
        <f t="shared" si="127"/>
        <v>135.96</v>
      </c>
      <c r="R179" s="583">
        <f t="shared" si="128"/>
        <v>4.4017094017094021</v>
      </c>
    </row>
    <row r="180" spans="1:18">
      <c r="A180" s="444" t="s">
        <v>35</v>
      </c>
      <c r="B180" s="444">
        <v>2</v>
      </c>
      <c r="C180" s="561">
        <v>85.42</v>
      </c>
      <c r="D180" s="561">
        <v>0.5</v>
      </c>
      <c r="E180" s="561">
        <v>138.71</v>
      </c>
      <c r="F180" s="561">
        <v>0.25</v>
      </c>
      <c r="G180" s="583">
        <f t="shared" si="123"/>
        <v>224.13</v>
      </c>
      <c r="H180" s="627">
        <f t="shared" si="121"/>
        <v>0.75</v>
      </c>
      <c r="I180" s="627">
        <f t="shared" si="122"/>
        <v>0.3346272252710481</v>
      </c>
      <c r="J180" s="561">
        <v>81.510000000000005</v>
      </c>
      <c r="K180" s="561">
        <v>10</v>
      </c>
      <c r="L180" s="561">
        <f t="shared" si="124"/>
        <v>12.268433321064899</v>
      </c>
      <c r="M180" s="561">
        <v>673.26</v>
      </c>
      <c r="N180" s="561">
        <v>58</v>
      </c>
      <c r="O180" s="561">
        <f t="shared" si="125"/>
        <v>8.6147996316430504</v>
      </c>
      <c r="P180" s="583">
        <f t="shared" si="126"/>
        <v>978.9</v>
      </c>
      <c r="Q180" s="583">
        <f t="shared" si="127"/>
        <v>68.75</v>
      </c>
      <c r="R180" s="583">
        <f t="shared" si="128"/>
        <v>7.0231892941056291</v>
      </c>
    </row>
    <row r="181" spans="1:18">
      <c r="A181" s="444" t="s">
        <v>492</v>
      </c>
      <c r="B181" s="444">
        <v>1</v>
      </c>
      <c r="C181" s="561">
        <v>33</v>
      </c>
      <c r="D181" s="561">
        <v>0</v>
      </c>
      <c r="E181" s="561">
        <v>8.8000000000000007</v>
      </c>
      <c r="F181" s="561">
        <v>4</v>
      </c>
      <c r="G181" s="583">
        <f t="shared" si="123"/>
        <v>41.8</v>
      </c>
      <c r="H181" s="627">
        <f t="shared" si="121"/>
        <v>4</v>
      </c>
      <c r="I181" s="627">
        <f t="shared" si="122"/>
        <v>9.5693779904306222</v>
      </c>
      <c r="J181" s="561">
        <v>62.48</v>
      </c>
      <c r="K181" s="561">
        <v>20</v>
      </c>
      <c r="L181" s="561">
        <f t="shared" si="124"/>
        <v>32.010243277848907</v>
      </c>
      <c r="M181" s="561">
        <v>194.04</v>
      </c>
      <c r="N181" s="561">
        <v>16</v>
      </c>
      <c r="O181" s="561">
        <f t="shared" si="125"/>
        <v>8.245722531436817</v>
      </c>
      <c r="P181" s="583">
        <f t="shared" si="126"/>
        <v>298.32</v>
      </c>
      <c r="Q181" s="583">
        <f t="shared" si="127"/>
        <v>40</v>
      </c>
      <c r="R181" s="583">
        <f t="shared" si="128"/>
        <v>13.408420488066506</v>
      </c>
    </row>
    <row r="182" spans="1:18">
      <c r="A182" s="444" t="s">
        <v>23</v>
      </c>
      <c r="B182" s="444">
        <v>3</v>
      </c>
      <c r="C182" s="561">
        <v>166.49</v>
      </c>
      <c r="D182" s="561">
        <v>0</v>
      </c>
      <c r="E182" s="561">
        <v>572.05999999999995</v>
      </c>
      <c r="F182" s="561">
        <v>74</v>
      </c>
      <c r="G182" s="583">
        <f t="shared" si="123"/>
        <v>738.55</v>
      </c>
      <c r="H182" s="627">
        <f t="shared" si="121"/>
        <v>74</v>
      </c>
      <c r="I182" s="627">
        <f t="shared" si="122"/>
        <v>10.019633064789115</v>
      </c>
      <c r="J182" s="561">
        <v>600.38</v>
      </c>
      <c r="K182" s="561">
        <v>0</v>
      </c>
      <c r="L182" s="561">
        <f t="shared" si="124"/>
        <v>0</v>
      </c>
      <c r="M182" s="561">
        <v>1730.3</v>
      </c>
      <c r="N182" s="561">
        <v>14.59</v>
      </c>
      <c r="O182" s="561">
        <f t="shared" si="125"/>
        <v>0.84320638039646301</v>
      </c>
      <c r="P182" s="583">
        <f t="shared" si="126"/>
        <v>3069.2299999999996</v>
      </c>
      <c r="Q182" s="583">
        <f t="shared" si="127"/>
        <v>88.59</v>
      </c>
      <c r="R182" s="583">
        <f t="shared" si="128"/>
        <v>2.886391700850051</v>
      </c>
    </row>
    <row r="183" spans="1:18">
      <c r="A183" s="444" t="s">
        <v>493</v>
      </c>
      <c r="B183" s="444">
        <v>2</v>
      </c>
      <c r="C183" s="561">
        <v>155.71</v>
      </c>
      <c r="D183" s="561">
        <v>0</v>
      </c>
      <c r="E183" s="561">
        <v>95.1</v>
      </c>
      <c r="F183" s="561">
        <f>45</f>
        <v>45</v>
      </c>
      <c r="G183" s="583">
        <f t="shared" si="123"/>
        <v>250.81</v>
      </c>
      <c r="H183" s="627">
        <f t="shared" si="121"/>
        <v>45</v>
      </c>
      <c r="I183" s="627">
        <f t="shared" si="122"/>
        <v>17.941868346557154</v>
      </c>
      <c r="J183" s="561">
        <v>77</v>
      </c>
      <c r="K183" s="561">
        <v>10.77</v>
      </c>
      <c r="L183" s="561">
        <f t="shared" si="124"/>
        <v>13.987012987012987</v>
      </c>
      <c r="M183" s="561">
        <v>969.98</v>
      </c>
      <c r="N183" s="561">
        <f>125.73+365.2</f>
        <v>490.93</v>
      </c>
      <c r="O183" s="561">
        <f t="shared" si="125"/>
        <v>50.612383760489912</v>
      </c>
      <c r="P183" s="583">
        <f t="shared" si="126"/>
        <v>1297.79</v>
      </c>
      <c r="Q183" s="583">
        <f t="shared" si="127"/>
        <v>546.70000000000005</v>
      </c>
      <c r="R183" s="583">
        <f t="shared" si="128"/>
        <v>42.125459434885464</v>
      </c>
    </row>
    <row r="184" spans="1:18">
      <c r="A184" s="444" t="s">
        <v>53</v>
      </c>
      <c r="B184" s="444">
        <v>2</v>
      </c>
      <c r="C184" s="561">
        <v>71.06</v>
      </c>
      <c r="D184" s="561">
        <v>0</v>
      </c>
      <c r="E184" s="561">
        <v>11.88</v>
      </c>
      <c r="F184" s="561">
        <v>0</v>
      </c>
      <c r="G184" s="583">
        <f t="shared" si="123"/>
        <v>82.94</v>
      </c>
      <c r="H184" s="627">
        <f t="shared" si="121"/>
        <v>0</v>
      </c>
      <c r="I184" s="627">
        <f t="shared" si="122"/>
        <v>0</v>
      </c>
      <c r="J184" s="561">
        <v>33.770000000000003</v>
      </c>
      <c r="K184" s="561">
        <v>0</v>
      </c>
      <c r="L184" s="561">
        <f t="shared" si="124"/>
        <v>0</v>
      </c>
      <c r="M184" s="561">
        <v>225.45</v>
      </c>
      <c r="N184" s="561">
        <v>5</v>
      </c>
      <c r="O184" s="561">
        <f t="shared" si="125"/>
        <v>2.2177866489243736</v>
      </c>
      <c r="P184" s="583">
        <f t="shared" si="126"/>
        <v>342.15999999999997</v>
      </c>
      <c r="Q184" s="583">
        <f t="shared" si="127"/>
        <v>5</v>
      </c>
      <c r="R184" s="583">
        <f t="shared" si="128"/>
        <v>1.4613046527940146</v>
      </c>
    </row>
    <row r="185" spans="1:18">
      <c r="A185" s="444" t="s">
        <v>494</v>
      </c>
      <c r="B185" s="444">
        <v>1</v>
      </c>
      <c r="C185" s="561">
        <v>29.92</v>
      </c>
      <c r="D185" s="561">
        <v>0</v>
      </c>
      <c r="E185" s="561">
        <v>7.04</v>
      </c>
      <c r="F185" s="561">
        <v>0</v>
      </c>
      <c r="G185" s="583">
        <f t="shared" si="123"/>
        <v>36.96</v>
      </c>
      <c r="H185" s="627">
        <f t="shared" si="121"/>
        <v>0</v>
      </c>
      <c r="I185" s="627">
        <f t="shared" si="122"/>
        <v>0</v>
      </c>
      <c r="J185" s="561">
        <v>11</v>
      </c>
      <c r="K185" s="561">
        <v>0</v>
      </c>
      <c r="L185" s="561">
        <f t="shared" si="124"/>
        <v>0</v>
      </c>
      <c r="M185" s="561">
        <v>1018.66</v>
      </c>
      <c r="N185" s="561">
        <v>0</v>
      </c>
      <c r="O185" s="561">
        <f t="shared" si="125"/>
        <v>0</v>
      </c>
      <c r="P185" s="583">
        <f t="shared" si="126"/>
        <v>1066.6199999999999</v>
      </c>
      <c r="Q185" s="583">
        <f t="shared" si="127"/>
        <v>0</v>
      </c>
      <c r="R185" s="583">
        <f t="shared" si="128"/>
        <v>0</v>
      </c>
    </row>
    <row r="186" spans="1:18">
      <c r="A186" s="582" t="s">
        <v>27</v>
      </c>
      <c r="B186" s="582">
        <v>2</v>
      </c>
      <c r="C186" s="561">
        <v>33</v>
      </c>
      <c r="D186" s="561">
        <v>0</v>
      </c>
      <c r="E186" s="561">
        <v>4.4000000000000004</v>
      </c>
      <c r="F186" s="561">
        <v>0</v>
      </c>
      <c r="G186" s="583">
        <f t="shared" si="123"/>
        <v>37.4</v>
      </c>
      <c r="H186" s="627">
        <f t="shared" si="121"/>
        <v>0</v>
      </c>
      <c r="I186" s="627">
        <f t="shared" si="122"/>
        <v>0</v>
      </c>
      <c r="J186" s="561">
        <v>490.6</v>
      </c>
      <c r="K186" s="561">
        <v>4.75</v>
      </c>
      <c r="L186" s="561">
        <f t="shared" si="124"/>
        <v>0.96820220138605773</v>
      </c>
      <c r="M186" s="561">
        <v>4.95</v>
      </c>
      <c r="N186" s="561">
        <v>0</v>
      </c>
      <c r="O186" s="561">
        <f t="shared" si="125"/>
        <v>0</v>
      </c>
      <c r="P186" s="583">
        <f t="shared" si="126"/>
        <v>532.95000000000005</v>
      </c>
      <c r="Q186" s="583">
        <f t="shared" si="127"/>
        <v>4.75</v>
      </c>
      <c r="R186" s="583">
        <f t="shared" si="128"/>
        <v>0.89126559714795006</v>
      </c>
    </row>
    <row r="187" spans="1:18">
      <c r="A187" s="444" t="s">
        <v>285</v>
      </c>
      <c r="B187" s="444">
        <v>1</v>
      </c>
      <c r="C187" s="561">
        <v>33.39</v>
      </c>
      <c r="D187" s="561">
        <v>1.88</v>
      </c>
      <c r="E187" s="561">
        <v>12.65</v>
      </c>
      <c r="F187" s="561">
        <v>0</v>
      </c>
      <c r="G187" s="583">
        <f t="shared" si="123"/>
        <v>46.04</v>
      </c>
      <c r="H187" s="627">
        <f t="shared" si="121"/>
        <v>1.88</v>
      </c>
      <c r="I187" s="627">
        <f t="shared" si="122"/>
        <v>4.0834057341442227</v>
      </c>
      <c r="J187" s="561">
        <v>120.12</v>
      </c>
      <c r="K187" s="561">
        <v>4.26</v>
      </c>
      <c r="L187" s="561">
        <f t="shared" si="124"/>
        <v>3.546453546453546</v>
      </c>
      <c r="M187" s="561">
        <v>26.29</v>
      </c>
      <c r="N187" s="561">
        <v>11.45</v>
      </c>
      <c r="O187" s="561">
        <f t="shared" si="125"/>
        <v>43.55268162799544</v>
      </c>
      <c r="P187" s="583">
        <f t="shared" si="126"/>
        <v>192.45</v>
      </c>
      <c r="Q187" s="583">
        <f t="shared" si="127"/>
        <v>17.59</v>
      </c>
      <c r="R187" s="583">
        <f t="shared" si="128"/>
        <v>9.1400363730839178</v>
      </c>
    </row>
    <row r="188" spans="1:18">
      <c r="A188" s="444" t="s">
        <v>11</v>
      </c>
      <c r="B188" s="444">
        <v>2</v>
      </c>
      <c r="C188" s="561">
        <v>18.37</v>
      </c>
      <c r="D188" s="561">
        <v>8.5500000000000007</v>
      </c>
      <c r="E188" s="561">
        <v>0</v>
      </c>
      <c r="F188" s="561">
        <v>0</v>
      </c>
      <c r="G188" s="583">
        <f t="shared" si="123"/>
        <v>18.37</v>
      </c>
      <c r="H188" s="627">
        <f t="shared" si="121"/>
        <v>8.5500000000000007</v>
      </c>
      <c r="I188" s="627">
        <f t="shared" si="122"/>
        <v>46.543277082199239</v>
      </c>
      <c r="J188" s="561">
        <v>18.260000000000002</v>
      </c>
      <c r="K188" s="561">
        <v>0</v>
      </c>
      <c r="L188" s="561">
        <f t="shared" si="124"/>
        <v>0</v>
      </c>
      <c r="M188" s="561">
        <v>4.51</v>
      </c>
      <c r="N188" s="561">
        <v>0</v>
      </c>
      <c r="O188" s="561">
        <f t="shared" si="125"/>
        <v>0</v>
      </c>
      <c r="P188" s="583">
        <f t="shared" si="126"/>
        <v>41.14</v>
      </c>
      <c r="Q188" s="583">
        <f t="shared" si="127"/>
        <v>8.5500000000000007</v>
      </c>
      <c r="R188" s="583">
        <f t="shared" si="128"/>
        <v>20.782693242586294</v>
      </c>
    </row>
    <row r="189" spans="1:18">
      <c r="A189" s="444" t="s">
        <v>28</v>
      </c>
      <c r="B189" s="444">
        <v>2</v>
      </c>
      <c r="C189" s="561">
        <v>233.64</v>
      </c>
      <c r="D189" s="561">
        <v>0</v>
      </c>
      <c r="E189" s="561">
        <v>165</v>
      </c>
      <c r="F189" s="561">
        <v>12.25</v>
      </c>
      <c r="G189" s="583">
        <f t="shared" si="123"/>
        <v>398.64</v>
      </c>
      <c r="H189" s="627">
        <f t="shared" si="121"/>
        <v>12.25</v>
      </c>
      <c r="I189" s="627">
        <f t="shared" si="122"/>
        <v>3.0729480232791495</v>
      </c>
      <c r="J189" s="561">
        <v>187</v>
      </c>
      <c r="K189" s="561">
        <v>0</v>
      </c>
      <c r="L189" s="561">
        <f t="shared" si="124"/>
        <v>0</v>
      </c>
      <c r="M189" s="561">
        <v>1518.39</v>
      </c>
      <c r="N189" s="561">
        <v>49</v>
      </c>
      <c r="O189" s="561">
        <f t="shared" si="125"/>
        <v>3.2271023913487311</v>
      </c>
      <c r="P189" s="583">
        <f t="shared" si="126"/>
        <v>2104.0300000000002</v>
      </c>
      <c r="Q189" s="583">
        <f t="shared" si="127"/>
        <v>61.25</v>
      </c>
      <c r="R189" s="583">
        <f t="shared" si="128"/>
        <v>2.9110801652067697</v>
      </c>
    </row>
    <row r="190" spans="1:18">
      <c r="A190" s="444" t="s">
        <v>26</v>
      </c>
      <c r="B190" s="444">
        <v>2</v>
      </c>
      <c r="C190" s="561">
        <v>24.2</v>
      </c>
      <c r="D190" s="561">
        <v>0</v>
      </c>
      <c r="E190" s="561">
        <v>1.1000000000000001</v>
      </c>
      <c r="F190" s="561">
        <v>0</v>
      </c>
      <c r="G190" s="583">
        <f t="shared" si="123"/>
        <v>25.3</v>
      </c>
      <c r="H190" s="627">
        <f t="shared" si="121"/>
        <v>0</v>
      </c>
      <c r="I190" s="627">
        <f t="shared" si="122"/>
        <v>0</v>
      </c>
      <c r="J190" s="561">
        <v>103.07</v>
      </c>
      <c r="K190" s="561">
        <v>531</v>
      </c>
      <c r="L190" s="561">
        <f t="shared" si="124"/>
        <v>515.18385563209472</v>
      </c>
      <c r="M190" s="561">
        <v>14.3</v>
      </c>
      <c r="N190" s="561">
        <v>0</v>
      </c>
      <c r="O190" s="561">
        <f t="shared" si="125"/>
        <v>0</v>
      </c>
      <c r="P190" s="583">
        <f t="shared" si="126"/>
        <v>142.67000000000002</v>
      </c>
      <c r="Q190" s="583">
        <f t="shared" si="127"/>
        <v>531</v>
      </c>
      <c r="R190" s="583">
        <f t="shared" si="128"/>
        <v>372.1875657110815</v>
      </c>
    </row>
    <row r="191" spans="1:18">
      <c r="A191" s="444" t="s">
        <v>83</v>
      </c>
      <c r="B191" s="444">
        <v>1</v>
      </c>
      <c r="C191" s="561">
        <v>33</v>
      </c>
      <c r="D191" s="561">
        <v>0</v>
      </c>
      <c r="E191" s="561">
        <v>0</v>
      </c>
      <c r="F191" s="561">
        <v>0</v>
      </c>
      <c r="G191" s="583">
        <f t="shared" si="123"/>
        <v>33</v>
      </c>
      <c r="H191" s="627">
        <f t="shared" si="121"/>
        <v>0</v>
      </c>
      <c r="I191" s="627">
        <f t="shared" si="122"/>
        <v>0</v>
      </c>
      <c r="J191" s="561">
        <v>55</v>
      </c>
      <c r="K191" s="561">
        <v>19</v>
      </c>
      <c r="L191" s="561">
        <f t="shared" si="124"/>
        <v>34.54545454545454</v>
      </c>
      <c r="M191" s="561">
        <v>133.32</v>
      </c>
      <c r="N191" s="561">
        <v>43.8</v>
      </c>
      <c r="O191" s="561">
        <f t="shared" si="125"/>
        <v>32.853285328532856</v>
      </c>
      <c r="P191" s="583">
        <f t="shared" si="126"/>
        <v>221.32</v>
      </c>
      <c r="Q191" s="583">
        <f t="shared" si="127"/>
        <v>62.8</v>
      </c>
      <c r="R191" s="583">
        <f t="shared" si="128"/>
        <v>28.375203325501534</v>
      </c>
    </row>
    <row r="192" spans="1:18">
      <c r="A192" s="444" t="s">
        <v>495</v>
      </c>
      <c r="B192" s="444">
        <v>1</v>
      </c>
      <c r="C192" s="561">
        <v>38.5</v>
      </c>
      <c r="D192" s="561">
        <v>0</v>
      </c>
      <c r="E192" s="561">
        <v>48.62</v>
      </c>
      <c r="F192" s="561">
        <v>0</v>
      </c>
      <c r="G192" s="583">
        <f t="shared" si="123"/>
        <v>87.12</v>
      </c>
      <c r="H192" s="627">
        <f t="shared" si="121"/>
        <v>0</v>
      </c>
      <c r="I192" s="627">
        <f t="shared" si="122"/>
        <v>0</v>
      </c>
      <c r="J192" s="561">
        <v>354.42</v>
      </c>
      <c r="K192" s="561">
        <v>0</v>
      </c>
      <c r="L192" s="561">
        <f t="shared" si="124"/>
        <v>0</v>
      </c>
      <c r="M192" s="561">
        <v>1028.28</v>
      </c>
      <c r="N192" s="561">
        <v>37</v>
      </c>
      <c r="O192" s="561">
        <f t="shared" si="125"/>
        <v>3.5982417240440348</v>
      </c>
      <c r="P192" s="583">
        <f t="shared" si="126"/>
        <v>1469.82</v>
      </c>
      <c r="Q192" s="583">
        <f t="shared" si="127"/>
        <v>37</v>
      </c>
      <c r="R192" s="583">
        <f t="shared" si="128"/>
        <v>2.5173150453797062</v>
      </c>
    </row>
    <row r="193" spans="1:18">
      <c r="A193" s="444" t="s">
        <v>19</v>
      </c>
      <c r="B193" s="444">
        <v>2</v>
      </c>
      <c r="C193" s="561">
        <v>47.3</v>
      </c>
      <c r="D193" s="561">
        <v>0</v>
      </c>
      <c r="E193" s="561">
        <v>20.57</v>
      </c>
      <c r="F193" s="561">
        <v>1.5</v>
      </c>
      <c r="G193" s="583">
        <f t="shared" si="123"/>
        <v>67.87</v>
      </c>
      <c r="H193" s="627">
        <f t="shared" si="121"/>
        <v>1.5</v>
      </c>
      <c r="I193" s="627">
        <f t="shared" si="122"/>
        <v>2.21010755856785</v>
      </c>
      <c r="J193" s="561">
        <v>146.85</v>
      </c>
      <c r="K193" s="561">
        <v>0</v>
      </c>
      <c r="L193" s="561">
        <f t="shared" si="124"/>
        <v>0</v>
      </c>
      <c r="M193" s="561">
        <v>794.64</v>
      </c>
      <c r="N193" s="561">
        <v>12</v>
      </c>
      <c r="O193" s="561">
        <f t="shared" si="125"/>
        <v>1.5101177891875568</v>
      </c>
      <c r="P193" s="583">
        <f t="shared" si="126"/>
        <v>1009.36</v>
      </c>
      <c r="Q193" s="583">
        <f t="shared" si="127"/>
        <v>13.5</v>
      </c>
      <c r="R193" s="583">
        <f t="shared" si="128"/>
        <v>1.3374811761908536</v>
      </c>
    </row>
    <row r="194" spans="1:18">
      <c r="A194" s="444" t="s">
        <v>52</v>
      </c>
      <c r="B194" s="444">
        <v>1</v>
      </c>
      <c r="C194" s="561">
        <v>27.5</v>
      </c>
      <c r="D194" s="561">
        <v>0</v>
      </c>
      <c r="E194" s="561">
        <v>7.37</v>
      </c>
      <c r="F194" s="561">
        <v>0</v>
      </c>
      <c r="G194" s="583">
        <f t="shared" si="123"/>
        <v>34.869999999999997</v>
      </c>
      <c r="H194" s="627">
        <f t="shared" si="121"/>
        <v>0</v>
      </c>
      <c r="I194" s="627">
        <f t="shared" si="122"/>
        <v>0</v>
      </c>
      <c r="J194" s="561">
        <v>17.05</v>
      </c>
      <c r="K194" s="561">
        <v>0</v>
      </c>
      <c r="L194" s="561">
        <f t="shared" si="124"/>
        <v>0</v>
      </c>
      <c r="M194" s="561">
        <v>33.22</v>
      </c>
      <c r="N194" s="561">
        <v>22.71</v>
      </c>
      <c r="O194" s="561">
        <f t="shared" si="125"/>
        <v>68.362432269717047</v>
      </c>
      <c r="P194" s="583">
        <f t="shared" si="126"/>
        <v>85.14</v>
      </c>
      <c r="Q194" s="583">
        <f t="shared" si="127"/>
        <v>22.71</v>
      </c>
      <c r="R194" s="583">
        <f t="shared" si="128"/>
        <v>26.673713883016209</v>
      </c>
    </row>
    <row r="195" spans="1:18">
      <c r="A195" s="444" t="s">
        <v>51</v>
      </c>
      <c r="B195" s="444">
        <v>1</v>
      </c>
      <c r="C195" s="561">
        <v>33</v>
      </c>
      <c r="D195" s="561">
        <v>0</v>
      </c>
      <c r="E195" s="561">
        <v>0</v>
      </c>
      <c r="F195" s="561">
        <v>0</v>
      </c>
      <c r="G195" s="583">
        <f t="shared" si="123"/>
        <v>33</v>
      </c>
      <c r="H195" s="627">
        <f t="shared" si="121"/>
        <v>0</v>
      </c>
      <c r="I195" s="627">
        <f t="shared" si="122"/>
        <v>0</v>
      </c>
      <c r="J195" s="561">
        <v>22</v>
      </c>
      <c r="K195" s="561">
        <v>0</v>
      </c>
      <c r="L195" s="561">
        <f t="shared" si="124"/>
        <v>0</v>
      </c>
      <c r="M195" s="561">
        <v>28</v>
      </c>
      <c r="N195" s="561">
        <v>0</v>
      </c>
      <c r="O195" s="561">
        <f t="shared" si="125"/>
        <v>0</v>
      </c>
      <c r="P195" s="583">
        <f t="shared" si="126"/>
        <v>83</v>
      </c>
      <c r="Q195" s="583">
        <f t="shared" si="127"/>
        <v>0</v>
      </c>
      <c r="R195" s="583">
        <f t="shared" si="128"/>
        <v>0</v>
      </c>
    </row>
    <row r="196" spans="1:18">
      <c r="A196" s="444" t="s">
        <v>511</v>
      </c>
      <c r="B196" s="444">
        <v>1</v>
      </c>
      <c r="C196" s="561">
        <v>22</v>
      </c>
      <c r="D196" s="561">
        <v>0</v>
      </c>
      <c r="E196" s="561">
        <v>0</v>
      </c>
      <c r="F196" s="561">
        <v>0</v>
      </c>
      <c r="G196" s="583">
        <f t="shared" si="123"/>
        <v>22</v>
      </c>
      <c r="H196" s="627">
        <f t="shared" si="121"/>
        <v>0</v>
      </c>
      <c r="I196" s="627">
        <f t="shared" si="122"/>
        <v>0</v>
      </c>
      <c r="J196" s="561">
        <v>11</v>
      </c>
      <c r="K196" s="561">
        <v>0</v>
      </c>
      <c r="L196" s="561">
        <f t="shared" si="124"/>
        <v>0</v>
      </c>
      <c r="M196" s="561">
        <v>11</v>
      </c>
      <c r="N196" s="561">
        <v>0</v>
      </c>
      <c r="O196" s="561">
        <f t="shared" si="125"/>
        <v>0</v>
      </c>
      <c r="P196" s="583">
        <f t="shared" si="126"/>
        <v>44</v>
      </c>
      <c r="Q196" s="583">
        <f t="shared" si="127"/>
        <v>0</v>
      </c>
      <c r="R196" s="583">
        <f t="shared" si="128"/>
        <v>0</v>
      </c>
    </row>
    <row r="197" spans="1:18">
      <c r="A197" s="444" t="s">
        <v>496</v>
      </c>
      <c r="B197" s="444">
        <v>2</v>
      </c>
      <c r="C197" s="561">
        <v>110</v>
      </c>
      <c r="D197" s="561">
        <v>0</v>
      </c>
      <c r="E197" s="561">
        <v>22</v>
      </c>
      <c r="F197" s="561">
        <v>2</v>
      </c>
      <c r="G197" s="583">
        <f t="shared" si="123"/>
        <v>132</v>
      </c>
      <c r="H197" s="627">
        <f t="shared" si="121"/>
        <v>2</v>
      </c>
      <c r="I197" s="627">
        <f t="shared" si="122"/>
        <v>1.5151515151515151</v>
      </c>
      <c r="J197" s="561">
        <v>22</v>
      </c>
      <c r="K197" s="561">
        <v>20</v>
      </c>
      <c r="L197" s="561">
        <f t="shared" si="124"/>
        <v>90.909090909090907</v>
      </c>
      <c r="M197" s="561">
        <v>805.53</v>
      </c>
      <c r="N197" s="561">
        <v>67.599999999999994</v>
      </c>
      <c r="O197" s="561">
        <f t="shared" si="125"/>
        <v>8.3919903665909406</v>
      </c>
      <c r="P197" s="583">
        <f t="shared" si="126"/>
        <v>959.53</v>
      </c>
      <c r="Q197" s="583">
        <f t="shared" si="127"/>
        <v>89.6</v>
      </c>
      <c r="R197" s="583">
        <f t="shared" si="128"/>
        <v>9.3379050159974142</v>
      </c>
    </row>
    <row r="198" spans="1:18">
      <c r="A198" s="444" t="s">
        <v>108</v>
      </c>
      <c r="B198" s="444">
        <v>1</v>
      </c>
      <c r="C198" s="561">
        <v>22</v>
      </c>
      <c r="D198" s="561">
        <v>0</v>
      </c>
      <c r="E198" s="561">
        <v>0</v>
      </c>
      <c r="F198" s="561">
        <v>4.9000000000000004</v>
      </c>
      <c r="G198" s="583">
        <f t="shared" si="123"/>
        <v>22</v>
      </c>
      <c r="H198" s="627">
        <f t="shared" si="121"/>
        <v>4.9000000000000004</v>
      </c>
      <c r="I198" s="627">
        <f t="shared" si="122"/>
        <v>22.272727272727273</v>
      </c>
      <c r="J198" s="561">
        <v>16.5</v>
      </c>
      <c r="K198" s="561">
        <v>0</v>
      </c>
      <c r="L198" s="561">
        <f t="shared" si="124"/>
        <v>0</v>
      </c>
      <c r="M198" s="561">
        <v>178.42</v>
      </c>
      <c r="N198" s="561">
        <v>56</v>
      </c>
      <c r="O198" s="561">
        <f t="shared" si="125"/>
        <v>31.386615850241007</v>
      </c>
      <c r="P198" s="583">
        <f t="shared" si="126"/>
        <v>216.92</v>
      </c>
      <c r="Q198" s="583">
        <f t="shared" si="127"/>
        <v>60.9</v>
      </c>
      <c r="R198" s="583">
        <f t="shared" si="128"/>
        <v>28.074866310160427</v>
      </c>
    </row>
    <row r="199" spans="1:18">
      <c r="A199" s="444" t="s">
        <v>286</v>
      </c>
      <c r="B199" s="444">
        <v>1</v>
      </c>
      <c r="C199" s="561">
        <v>22</v>
      </c>
      <c r="D199" s="561">
        <v>0</v>
      </c>
      <c r="E199" s="561">
        <v>0</v>
      </c>
      <c r="F199" s="561">
        <v>0</v>
      </c>
      <c r="G199" s="583">
        <f t="shared" si="123"/>
        <v>22</v>
      </c>
      <c r="H199" s="627">
        <f t="shared" si="121"/>
        <v>0</v>
      </c>
      <c r="I199" s="627">
        <f t="shared" si="122"/>
        <v>0</v>
      </c>
      <c r="J199" s="561">
        <v>16.5</v>
      </c>
      <c r="K199" s="561">
        <v>0</v>
      </c>
      <c r="L199" s="561">
        <f t="shared" si="124"/>
        <v>0</v>
      </c>
      <c r="M199" s="561">
        <v>11</v>
      </c>
      <c r="N199" s="561">
        <v>0</v>
      </c>
      <c r="O199" s="561">
        <f t="shared" si="125"/>
        <v>0</v>
      </c>
      <c r="P199" s="583">
        <f t="shared" si="126"/>
        <v>49.5</v>
      </c>
      <c r="Q199" s="583">
        <f t="shared" si="127"/>
        <v>0</v>
      </c>
      <c r="R199" s="583">
        <f t="shared" si="128"/>
        <v>0</v>
      </c>
    </row>
    <row r="200" spans="1:18">
      <c r="A200" s="444" t="s">
        <v>60</v>
      </c>
      <c r="B200" s="444">
        <v>1</v>
      </c>
      <c r="C200" s="561">
        <v>16.5</v>
      </c>
      <c r="D200" s="561">
        <v>0</v>
      </c>
      <c r="E200" s="561">
        <v>0</v>
      </c>
      <c r="F200" s="561">
        <v>0</v>
      </c>
      <c r="G200" s="583">
        <f t="shared" si="123"/>
        <v>16.5</v>
      </c>
      <c r="H200" s="627">
        <f t="shared" si="121"/>
        <v>0</v>
      </c>
      <c r="I200" s="627">
        <f t="shared" si="122"/>
        <v>0</v>
      </c>
      <c r="J200" s="561">
        <v>11</v>
      </c>
      <c r="K200" s="561">
        <v>0</v>
      </c>
      <c r="L200" s="561">
        <f t="shared" si="124"/>
        <v>0</v>
      </c>
      <c r="M200" s="561">
        <v>11</v>
      </c>
      <c r="N200" s="561">
        <v>0</v>
      </c>
      <c r="O200" s="561">
        <f t="shared" si="125"/>
        <v>0</v>
      </c>
      <c r="P200" s="583">
        <f t="shared" si="126"/>
        <v>38.5</v>
      </c>
      <c r="Q200" s="583">
        <f t="shared" si="127"/>
        <v>0</v>
      </c>
      <c r="R200" s="583">
        <f t="shared" si="128"/>
        <v>0</v>
      </c>
    </row>
    <row r="201" spans="1:18">
      <c r="A201" s="626" t="s">
        <v>502</v>
      </c>
      <c r="B201" s="626">
        <f>SUM(B177:B200)</f>
        <v>44</v>
      </c>
      <c r="C201" s="626">
        <f t="shared" ref="C201:N201" si="129">SUM(C177:C200)</f>
        <v>1744.73</v>
      </c>
      <c r="D201" s="626">
        <f t="shared" si="129"/>
        <v>31.73</v>
      </c>
      <c r="E201" s="626">
        <f t="shared" si="129"/>
        <v>2029.9499999999996</v>
      </c>
      <c r="F201" s="626">
        <f t="shared" si="129"/>
        <v>181.36</v>
      </c>
      <c r="G201" s="583">
        <f t="shared" si="123"/>
        <v>3774.6799999999994</v>
      </c>
      <c r="H201" s="627">
        <f t="shared" si="121"/>
        <v>213.09</v>
      </c>
      <c r="I201" s="627">
        <f t="shared" si="122"/>
        <v>5.6452467493933272</v>
      </c>
      <c r="J201" s="626">
        <f t="shared" si="129"/>
        <v>3337.9900000000002</v>
      </c>
      <c r="K201" s="626">
        <f t="shared" si="129"/>
        <v>682.98</v>
      </c>
      <c r="L201" s="561">
        <f t="shared" si="124"/>
        <v>20.460816239713122</v>
      </c>
      <c r="M201" s="626">
        <f t="shared" si="129"/>
        <v>12799.410000000002</v>
      </c>
      <c r="N201" s="626">
        <f t="shared" si="129"/>
        <v>1285.8399999999999</v>
      </c>
      <c r="O201" s="561">
        <f t="shared" si="125"/>
        <v>10.0460880618716</v>
      </c>
      <c r="P201" s="583">
        <f t="shared" si="126"/>
        <v>19912.080000000002</v>
      </c>
      <c r="Q201" s="583">
        <f t="shared" si="127"/>
        <v>2181.91</v>
      </c>
      <c r="R201" s="583">
        <f t="shared" si="128"/>
        <v>10.957720137725438</v>
      </c>
    </row>
    <row r="202" spans="1:18">
      <c r="A202" s="444" t="s">
        <v>512</v>
      </c>
      <c r="B202" s="444">
        <v>4</v>
      </c>
      <c r="C202" s="561">
        <v>104.5</v>
      </c>
      <c r="D202" s="561">
        <v>14.88</v>
      </c>
      <c r="E202" s="561">
        <v>33.33</v>
      </c>
      <c r="F202" s="561">
        <v>8.84</v>
      </c>
      <c r="G202" s="583">
        <f t="shared" si="123"/>
        <v>137.82999999999998</v>
      </c>
      <c r="H202" s="627">
        <f t="shared" si="121"/>
        <v>23.72</v>
      </c>
      <c r="I202" s="627">
        <f t="shared" si="122"/>
        <v>17.209606036421679</v>
      </c>
      <c r="J202" s="561">
        <v>9.35</v>
      </c>
      <c r="K202" s="561">
        <v>2.2000000000000002</v>
      </c>
      <c r="L202" s="561">
        <f t="shared" si="124"/>
        <v>23.529411764705884</v>
      </c>
      <c r="M202" s="561">
        <v>407.5</v>
      </c>
      <c r="N202" s="561">
        <v>48.16</v>
      </c>
      <c r="O202" s="561">
        <f t="shared" si="125"/>
        <v>11.818404907975459</v>
      </c>
      <c r="P202" s="583">
        <f t="shared" si="126"/>
        <v>554.67999999999995</v>
      </c>
      <c r="Q202" s="583">
        <f t="shared" si="127"/>
        <v>74.08</v>
      </c>
      <c r="R202" s="583">
        <f t="shared" si="128"/>
        <v>13.355448186341675</v>
      </c>
    </row>
    <row r="203" spans="1:18">
      <c r="A203" s="444" t="s">
        <v>503</v>
      </c>
      <c r="B203" s="444">
        <v>8</v>
      </c>
      <c r="C203" s="561">
        <v>32.78</v>
      </c>
      <c r="D203" s="561">
        <v>15.99</v>
      </c>
      <c r="E203" s="561">
        <v>742.5</v>
      </c>
      <c r="F203" s="561">
        <v>6.3</v>
      </c>
      <c r="G203" s="583">
        <f t="shared" si="123"/>
        <v>775.28</v>
      </c>
      <c r="H203" s="627">
        <f t="shared" si="121"/>
        <v>22.29</v>
      </c>
      <c r="I203" s="627">
        <f t="shared" si="122"/>
        <v>2.8750902899597564</v>
      </c>
      <c r="J203" s="561">
        <v>47.14</v>
      </c>
      <c r="K203" s="561">
        <v>80.55</v>
      </c>
      <c r="L203" s="561">
        <f t="shared" si="124"/>
        <v>170.87399236317353</v>
      </c>
      <c r="M203" s="561">
        <v>456.06</v>
      </c>
      <c r="N203" s="561">
        <v>21.18</v>
      </c>
      <c r="O203" s="561">
        <f t="shared" si="125"/>
        <v>4.6441257729246148</v>
      </c>
      <c r="P203" s="583">
        <f t="shared" si="126"/>
        <v>1278.48</v>
      </c>
      <c r="Q203" s="583">
        <f t="shared" si="127"/>
        <v>124.01999999999998</v>
      </c>
      <c r="R203" s="583">
        <f t="shared" si="128"/>
        <v>9.7005819410550007</v>
      </c>
    </row>
    <row r="204" spans="1:18">
      <c r="A204" s="628" t="s">
        <v>206</v>
      </c>
      <c r="B204" s="629">
        <f>SUM(B201:B203)</f>
        <v>56</v>
      </c>
      <c r="C204" s="630">
        <f>SUM(C201:C203)</f>
        <v>1882.01</v>
      </c>
      <c r="D204" s="630">
        <f t="shared" ref="D204:N204" si="130">SUM(D201:D203)</f>
        <v>62.6</v>
      </c>
      <c r="E204" s="630">
        <f t="shared" si="130"/>
        <v>2805.7799999999997</v>
      </c>
      <c r="F204" s="630">
        <f t="shared" si="130"/>
        <v>196.50000000000003</v>
      </c>
      <c r="G204" s="583">
        <f>C204+E204</f>
        <v>4687.79</v>
      </c>
      <c r="H204" s="627">
        <f t="shared" si="121"/>
        <v>259.10000000000002</v>
      </c>
      <c r="I204" s="627">
        <f t="shared" si="122"/>
        <v>5.5271247218838733</v>
      </c>
      <c r="J204" s="630">
        <f t="shared" si="130"/>
        <v>3394.48</v>
      </c>
      <c r="K204" s="630">
        <f t="shared" si="130"/>
        <v>765.73</v>
      </c>
      <c r="L204" s="561">
        <f t="shared" si="124"/>
        <v>22.55809431783366</v>
      </c>
      <c r="M204" s="630">
        <f t="shared" si="130"/>
        <v>13662.970000000001</v>
      </c>
      <c r="N204" s="630">
        <f t="shared" si="130"/>
        <v>1355.18</v>
      </c>
      <c r="O204" s="561">
        <f t="shared" si="125"/>
        <v>9.9186340890743363</v>
      </c>
      <c r="P204" s="583">
        <f t="shared" si="126"/>
        <v>21745.24</v>
      </c>
      <c r="Q204" s="583">
        <f t="shared" si="127"/>
        <v>2380.0099999999998</v>
      </c>
      <c r="R204" s="583">
        <f t="shared" si="128"/>
        <v>10.944970025623997</v>
      </c>
    </row>
    <row r="205" spans="1:18">
      <c r="A205" s="563"/>
      <c r="B205" s="563"/>
      <c r="C205" s="601"/>
      <c r="D205" s="564"/>
      <c r="E205" s="565"/>
      <c r="F205" s="565"/>
      <c r="G205" s="565"/>
      <c r="H205" s="565"/>
      <c r="I205" s="603"/>
      <c r="J205" s="565"/>
      <c r="K205" s="565"/>
      <c r="L205" s="603"/>
      <c r="M205" s="565"/>
      <c r="N205" s="565"/>
      <c r="O205" s="603"/>
      <c r="P205" s="565"/>
      <c r="Q205" s="565"/>
      <c r="R205" s="603"/>
    </row>
    <row r="206" spans="1:18">
      <c r="A206" s="445"/>
      <c r="B206" s="445"/>
      <c r="C206" s="605"/>
      <c r="D206" s="446"/>
      <c r="E206" s="446"/>
      <c r="F206" s="446"/>
      <c r="G206" s="446"/>
      <c r="H206" s="446"/>
      <c r="I206" s="445"/>
      <c r="J206" s="446"/>
      <c r="K206" s="446"/>
      <c r="L206" s="445"/>
      <c r="M206" s="446"/>
      <c r="N206" s="446"/>
      <c r="O206" s="445"/>
      <c r="P206" s="446"/>
      <c r="Q206" s="446"/>
      <c r="R206" s="445"/>
    </row>
    <row r="207" spans="1:18" s="741" customFormat="1">
      <c r="A207" s="445"/>
      <c r="B207" s="445"/>
      <c r="C207" s="605"/>
      <c r="D207" s="446"/>
      <c r="E207" s="446"/>
      <c r="F207" s="446"/>
      <c r="G207" s="446"/>
      <c r="H207" s="446"/>
      <c r="I207" s="445"/>
      <c r="J207" s="446"/>
      <c r="K207" s="446"/>
      <c r="L207" s="445"/>
      <c r="M207" s="446"/>
      <c r="N207" s="446"/>
      <c r="O207" s="445"/>
      <c r="P207" s="446"/>
      <c r="Q207" s="446"/>
      <c r="R207" s="445"/>
    </row>
    <row r="208" spans="1:18">
      <c r="A208" s="445"/>
      <c r="B208" s="445"/>
      <c r="C208" s="605"/>
      <c r="D208" s="446"/>
      <c r="E208" s="446"/>
      <c r="F208" s="446"/>
      <c r="G208" s="446"/>
      <c r="H208" s="446"/>
      <c r="I208" s="445"/>
      <c r="J208" s="578"/>
      <c r="K208" s="578"/>
      <c r="L208" s="615"/>
      <c r="M208" s="446"/>
      <c r="N208" s="446"/>
      <c r="O208" s="445"/>
      <c r="P208" s="446"/>
      <c r="Q208" s="446"/>
      <c r="R208" s="445"/>
    </row>
    <row r="209" spans="1:18" ht="15.75">
      <c r="A209" s="1624">
        <v>89</v>
      </c>
      <c r="B209" s="1624"/>
      <c r="C209" s="1624"/>
      <c r="D209" s="1624"/>
      <c r="E209" s="1624"/>
      <c r="F209" s="1624"/>
      <c r="G209" s="1624"/>
      <c r="H209" s="1624"/>
      <c r="I209" s="1624"/>
      <c r="J209" s="1624"/>
      <c r="K209" s="1624"/>
      <c r="L209" s="1624"/>
      <c r="M209" s="1624"/>
      <c r="N209" s="1624"/>
      <c r="O209" s="1624"/>
      <c r="P209" s="1624"/>
      <c r="Q209" s="1624"/>
      <c r="R209" s="1624"/>
    </row>
    <row r="210" spans="1:18" ht="15.75">
      <c r="A210" s="631"/>
      <c r="B210" s="631"/>
      <c r="C210" s="631"/>
      <c r="D210" s="631"/>
      <c r="E210" s="631"/>
      <c r="F210" s="631"/>
      <c r="G210" s="631"/>
      <c r="H210" s="631"/>
      <c r="I210" s="631"/>
      <c r="J210" s="631"/>
      <c r="K210" s="631"/>
      <c r="L210" s="631"/>
      <c r="M210" s="631"/>
      <c r="N210" s="631"/>
      <c r="O210" s="631"/>
      <c r="P210" s="631"/>
      <c r="Q210" s="631"/>
      <c r="R210" s="631"/>
    </row>
    <row r="211" spans="1:18">
      <c r="A211" s="606" t="s">
        <v>553</v>
      </c>
      <c r="B211" s="606"/>
      <c r="C211" s="624" t="s">
        <v>554</v>
      </c>
      <c r="D211" s="577" t="s">
        <v>555</v>
      </c>
      <c r="E211" s="577"/>
      <c r="F211" s="577"/>
      <c r="G211" s="577"/>
      <c r="H211" s="577"/>
      <c r="I211" s="577"/>
      <c r="J211" s="577"/>
      <c r="K211" s="577"/>
      <c r="L211" s="577"/>
      <c r="M211" s="577"/>
      <c r="N211" s="577"/>
      <c r="O211" s="577"/>
      <c r="P211" s="577"/>
      <c r="Q211" s="1627" t="s">
        <v>315</v>
      </c>
      <c r="R211" s="1627"/>
    </row>
    <row r="212" spans="1:18">
      <c r="A212" s="1621" t="s">
        <v>343</v>
      </c>
      <c r="B212" s="1622" t="s">
        <v>501</v>
      </c>
      <c r="C212" s="1622" t="s">
        <v>484</v>
      </c>
      <c r="D212" s="1622"/>
      <c r="E212" s="1622" t="s">
        <v>485</v>
      </c>
      <c r="F212" s="1622"/>
      <c r="G212" s="1625" t="s">
        <v>486</v>
      </c>
      <c r="H212" s="1625"/>
      <c r="I212" s="1625"/>
      <c r="J212" s="1625" t="s">
        <v>487</v>
      </c>
      <c r="K212" s="1625"/>
      <c r="L212" s="1625"/>
      <c r="M212" s="1625" t="s">
        <v>488</v>
      </c>
      <c r="N212" s="1625"/>
      <c r="O212" s="1625"/>
      <c r="P212" s="1625" t="s">
        <v>489</v>
      </c>
      <c r="Q212" s="1625"/>
      <c r="R212" s="1625"/>
    </row>
    <row r="213" spans="1:18">
      <c r="A213" s="1621"/>
      <c r="B213" s="1622"/>
      <c r="C213" s="597" t="s">
        <v>530</v>
      </c>
      <c r="D213" s="441" t="s">
        <v>531</v>
      </c>
      <c r="E213" s="441" t="s">
        <v>490</v>
      </c>
      <c r="F213" s="441" t="s">
        <v>531</v>
      </c>
      <c r="G213" s="441" t="s">
        <v>490</v>
      </c>
      <c r="H213" s="441" t="s">
        <v>531</v>
      </c>
      <c r="I213" s="598" t="s">
        <v>532</v>
      </c>
      <c r="J213" s="441" t="s">
        <v>490</v>
      </c>
      <c r="K213" s="441" t="s">
        <v>531</v>
      </c>
      <c r="L213" s="598" t="s">
        <v>532</v>
      </c>
      <c r="M213" s="441" t="s">
        <v>490</v>
      </c>
      <c r="N213" s="441" t="s">
        <v>531</v>
      </c>
      <c r="O213" s="598" t="s">
        <v>532</v>
      </c>
      <c r="P213" s="441" t="s">
        <v>490</v>
      </c>
      <c r="Q213" s="441" t="s">
        <v>531</v>
      </c>
      <c r="R213" s="598" t="s">
        <v>532</v>
      </c>
    </row>
    <row r="214" spans="1:18">
      <c r="A214" s="560" t="s">
        <v>10</v>
      </c>
      <c r="B214" s="560">
        <v>2</v>
      </c>
      <c r="C214" s="561">
        <v>70.95</v>
      </c>
      <c r="D214" s="561">
        <v>5.34</v>
      </c>
      <c r="E214" s="561">
        <v>83.49</v>
      </c>
      <c r="F214" s="561">
        <v>0</v>
      </c>
      <c r="G214" s="562">
        <f>C214+E214</f>
        <v>154.44</v>
      </c>
      <c r="H214" s="599">
        <f t="shared" ref="H214:H218" si="131">D214+F214</f>
        <v>5.34</v>
      </c>
      <c r="I214" s="600">
        <f t="shared" ref="I214:I215" si="132">(H214/G214*100)</f>
        <v>3.4576534576534574</v>
      </c>
      <c r="J214" s="561">
        <v>58.85</v>
      </c>
      <c r="K214" s="561">
        <v>7.29</v>
      </c>
      <c r="L214" s="600">
        <f t="shared" ref="L214:L215" si="133">(K214/J214*100)</f>
        <v>12.387425658453695</v>
      </c>
      <c r="M214" s="561">
        <v>374</v>
      </c>
      <c r="N214" s="561">
        <v>0</v>
      </c>
      <c r="O214" s="600">
        <f t="shared" ref="O214:O215" si="134">(N214/M214*100)</f>
        <v>0</v>
      </c>
      <c r="P214" s="562">
        <f>G214+J214+M214</f>
        <v>587.29</v>
      </c>
      <c r="Q214" s="599">
        <f t="shared" ref="Q214:Q218" si="135">H214+K214+N214</f>
        <v>12.629999999999999</v>
      </c>
      <c r="R214" s="600">
        <f t="shared" ref="R214:R215" si="136">(Q214/P214*100)</f>
        <v>2.1505559434010455</v>
      </c>
    </row>
    <row r="215" spans="1:18">
      <c r="A215" s="442" t="s">
        <v>17</v>
      </c>
      <c r="B215" s="442">
        <v>1</v>
      </c>
      <c r="C215" s="561">
        <v>50.6</v>
      </c>
      <c r="D215" s="561">
        <v>0</v>
      </c>
      <c r="E215" s="561">
        <v>53.35</v>
      </c>
      <c r="F215" s="561">
        <v>0</v>
      </c>
      <c r="G215" s="562">
        <f t="shared" ref="G215:G218" si="137">C215+E215</f>
        <v>103.95</v>
      </c>
      <c r="H215" s="599">
        <f t="shared" si="131"/>
        <v>0</v>
      </c>
      <c r="I215" s="600">
        <f t="shared" si="132"/>
        <v>0</v>
      </c>
      <c r="J215" s="561">
        <v>22.48</v>
      </c>
      <c r="K215" s="561">
        <v>0</v>
      </c>
      <c r="L215" s="600">
        <f t="shared" si="133"/>
        <v>0</v>
      </c>
      <c r="M215" s="561">
        <v>54.07</v>
      </c>
      <c r="N215" s="561">
        <v>0</v>
      </c>
      <c r="O215" s="600">
        <f t="shared" si="134"/>
        <v>0</v>
      </c>
      <c r="P215" s="562">
        <f t="shared" ref="P215:P218" si="138">G215+J215+M215</f>
        <v>180.5</v>
      </c>
      <c r="Q215" s="599">
        <f t="shared" si="135"/>
        <v>0</v>
      </c>
      <c r="R215" s="600">
        <f t="shared" si="136"/>
        <v>0</v>
      </c>
    </row>
    <row r="216" spans="1:18">
      <c r="A216" s="442" t="s">
        <v>502</v>
      </c>
      <c r="B216" s="442">
        <f>SUM(B214:B215)</f>
        <v>3</v>
      </c>
      <c r="C216" s="443">
        <f>SUM(C214:C215)</f>
        <v>121.55000000000001</v>
      </c>
      <c r="D216" s="599">
        <f>SUM(D214:D215)</f>
        <v>5.34</v>
      </c>
      <c r="E216" s="599">
        <f>SUM(E214:E215)</f>
        <v>136.84</v>
      </c>
      <c r="F216" s="599">
        <f>SUM(F214:F215)</f>
        <v>0</v>
      </c>
      <c r="G216" s="562">
        <f t="shared" si="137"/>
        <v>258.39</v>
      </c>
      <c r="H216" s="599">
        <f t="shared" si="131"/>
        <v>5.34</v>
      </c>
      <c r="I216" s="600">
        <f>(H216/G216*100)</f>
        <v>2.0666434459537908</v>
      </c>
      <c r="J216" s="599">
        <f>SUM(J214:J215)</f>
        <v>81.33</v>
      </c>
      <c r="K216" s="599">
        <f>SUM(K214:K215)</f>
        <v>7.29</v>
      </c>
      <c r="L216" s="600">
        <f>(K216/J216*100)</f>
        <v>8.9634821099225377</v>
      </c>
      <c r="M216" s="599">
        <f>SUM(M214:M215)</f>
        <v>428.07</v>
      </c>
      <c r="N216" s="599">
        <f>SUM(N214:N215)</f>
        <v>0</v>
      </c>
      <c r="O216" s="600">
        <f>(N216/M216*100)</f>
        <v>0</v>
      </c>
      <c r="P216" s="562">
        <f t="shared" si="138"/>
        <v>767.79</v>
      </c>
      <c r="Q216" s="599">
        <f t="shared" si="135"/>
        <v>12.629999999999999</v>
      </c>
      <c r="R216" s="600">
        <f>(Q216/P216*100)</f>
        <v>1.644981049505724</v>
      </c>
    </row>
    <row r="217" spans="1:18">
      <c r="A217" s="442" t="s">
        <v>507</v>
      </c>
      <c r="B217" s="442">
        <v>1</v>
      </c>
      <c r="C217" s="561">
        <v>4.07</v>
      </c>
      <c r="D217" s="561">
        <v>0</v>
      </c>
      <c r="E217" s="561">
        <v>92.95</v>
      </c>
      <c r="F217" s="561">
        <v>0</v>
      </c>
      <c r="G217" s="562">
        <f t="shared" si="137"/>
        <v>97.02000000000001</v>
      </c>
      <c r="H217" s="599">
        <f t="shared" si="131"/>
        <v>0</v>
      </c>
      <c r="I217" s="600">
        <f t="shared" ref="I217:I218" si="139">(H217/G217*100)</f>
        <v>0</v>
      </c>
      <c r="J217" s="561">
        <v>6</v>
      </c>
      <c r="K217" s="561">
        <v>0</v>
      </c>
      <c r="L217" s="600">
        <f t="shared" ref="L217:L218" si="140">(K217/J217*100)</f>
        <v>0</v>
      </c>
      <c r="M217" s="561">
        <v>57.09</v>
      </c>
      <c r="N217" s="561">
        <v>0</v>
      </c>
      <c r="O217" s="600">
        <f t="shared" ref="O217:O218" si="141">(N217/M217*100)</f>
        <v>0</v>
      </c>
      <c r="P217" s="562">
        <f t="shared" si="138"/>
        <v>160.11000000000001</v>
      </c>
      <c r="Q217" s="599">
        <f t="shared" si="135"/>
        <v>0</v>
      </c>
      <c r="R217" s="600">
        <f t="shared" ref="R217:R218" si="142">(Q217/P217*100)</f>
        <v>0</v>
      </c>
    </row>
    <row r="218" spans="1:18">
      <c r="A218" s="442" t="s">
        <v>505</v>
      </c>
      <c r="B218" s="442">
        <f>SUM(B216:B217)</f>
        <v>4</v>
      </c>
      <c r="C218" s="443">
        <f>SUM(C216:C217)</f>
        <v>125.62</v>
      </c>
      <c r="D218" s="443">
        <f t="shared" ref="D218:N218" si="143">SUM(D216:D217)</f>
        <v>5.34</v>
      </c>
      <c r="E218" s="443">
        <f t="shared" si="143"/>
        <v>229.79000000000002</v>
      </c>
      <c r="F218" s="443">
        <f t="shared" si="143"/>
        <v>0</v>
      </c>
      <c r="G218" s="562">
        <f t="shared" si="137"/>
        <v>355.41</v>
      </c>
      <c r="H218" s="599">
        <f t="shared" si="131"/>
        <v>5.34</v>
      </c>
      <c r="I218" s="600">
        <f t="shared" si="139"/>
        <v>1.5024900818772684</v>
      </c>
      <c r="J218" s="443">
        <f t="shared" si="143"/>
        <v>87.33</v>
      </c>
      <c r="K218" s="443">
        <f t="shared" si="143"/>
        <v>7.29</v>
      </c>
      <c r="L218" s="600">
        <f t="shared" si="140"/>
        <v>8.3476468567502593</v>
      </c>
      <c r="M218" s="443">
        <f t="shared" si="143"/>
        <v>485.15999999999997</v>
      </c>
      <c r="N218" s="443">
        <f t="shared" si="143"/>
        <v>0</v>
      </c>
      <c r="O218" s="600">
        <f t="shared" si="141"/>
        <v>0</v>
      </c>
      <c r="P218" s="562">
        <f t="shared" si="138"/>
        <v>927.9</v>
      </c>
      <c r="Q218" s="599">
        <f t="shared" si="135"/>
        <v>12.629999999999999</v>
      </c>
      <c r="R218" s="600">
        <f t="shared" si="142"/>
        <v>1.3611380536695763</v>
      </c>
    </row>
    <row r="219" spans="1:18">
      <c r="A219" s="563"/>
      <c r="B219" s="563"/>
      <c r="C219" s="601"/>
      <c r="D219" s="564"/>
      <c r="E219" s="564"/>
      <c r="F219" s="564"/>
      <c r="G219" s="565"/>
      <c r="H219" s="565"/>
      <c r="I219" s="603"/>
      <c r="J219" s="565"/>
      <c r="K219" s="565"/>
      <c r="L219" s="603"/>
      <c r="M219" s="565"/>
      <c r="N219" s="565"/>
      <c r="O219" s="603"/>
      <c r="P219" s="565"/>
      <c r="Q219" s="565"/>
      <c r="R219" s="603"/>
    </row>
    <row r="220" spans="1:18">
      <c r="A220" s="563"/>
      <c r="B220" s="563"/>
      <c r="C220" s="601"/>
      <c r="D220" s="564"/>
      <c r="E220" s="564"/>
      <c r="F220" s="564"/>
      <c r="G220" s="565"/>
      <c r="H220" s="565"/>
      <c r="I220" s="603"/>
      <c r="J220" s="565"/>
      <c r="K220" s="565"/>
      <c r="L220" s="603"/>
      <c r="M220" s="569"/>
      <c r="N220" s="569"/>
      <c r="O220" s="568"/>
      <c r="P220" s="565"/>
      <c r="Q220" s="565"/>
      <c r="R220" s="603"/>
    </row>
    <row r="221" spans="1:18">
      <c r="A221" s="606" t="s">
        <v>537</v>
      </c>
      <c r="B221" s="624" t="s">
        <v>556</v>
      </c>
      <c r="C221" s="624"/>
      <c r="D221" s="1626" t="s">
        <v>557</v>
      </c>
      <c r="E221" s="1626"/>
      <c r="F221" s="1626"/>
      <c r="G221" s="1626"/>
      <c r="H221" s="1626"/>
      <c r="I221" s="1626"/>
      <c r="J221" s="1626"/>
      <c r="K221" s="1626"/>
      <c r="L221" s="1626"/>
      <c r="M221" s="1626"/>
      <c r="N221" s="1626"/>
      <c r="O221" s="1626"/>
      <c r="P221" s="1626"/>
      <c r="Q221" s="1626"/>
      <c r="R221" s="1626"/>
    </row>
    <row r="222" spans="1:18">
      <c r="A222" s="1622" t="s">
        <v>343</v>
      </c>
      <c r="B222" s="1622" t="s">
        <v>510</v>
      </c>
      <c r="C222" s="1622" t="s">
        <v>484</v>
      </c>
      <c r="D222" s="1622"/>
      <c r="E222" s="1622" t="s">
        <v>485</v>
      </c>
      <c r="F222" s="1622"/>
      <c r="G222" s="1625" t="s">
        <v>486</v>
      </c>
      <c r="H222" s="1625"/>
      <c r="I222" s="1625"/>
      <c r="J222" s="1625" t="s">
        <v>487</v>
      </c>
      <c r="K222" s="1625"/>
      <c r="L222" s="1625"/>
      <c r="M222" s="1625" t="s">
        <v>488</v>
      </c>
      <c r="N222" s="1625"/>
      <c r="O222" s="1625"/>
      <c r="P222" s="1625" t="s">
        <v>489</v>
      </c>
      <c r="Q222" s="1625"/>
      <c r="R222" s="1625"/>
    </row>
    <row r="223" spans="1:18">
      <c r="A223" s="1622"/>
      <c r="B223" s="1622"/>
      <c r="C223" s="597" t="s">
        <v>530</v>
      </c>
      <c r="D223" s="441" t="s">
        <v>531</v>
      </c>
      <c r="E223" s="441" t="s">
        <v>490</v>
      </c>
      <c r="F223" s="441" t="s">
        <v>531</v>
      </c>
      <c r="G223" s="441" t="s">
        <v>490</v>
      </c>
      <c r="H223" s="441" t="s">
        <v>531</v>
      </c>
      <c r="I223" s="598" t="s">
        <v>532</v>
      </c>
      <c r="J223" s="441" t="s">
        <v>490</v>
      </c>
      <c r="K223" s="441" t="s">
        <v>531</v>
      </c>
      <c r="L223" s="598" t="s">
        <v>532</v>
      </c>
      <c r="M223" s="441" t="s">
        <v>490</v>
      </c>
      <c r="N223" s="441" t="s">
        <v>531</v>
      </c>
      <c r="O223" s="598" t="s">
        <v>532</v>
      </c>
      <c r="P223" s="441" t="s">
        <v>490</v>
      </c>
      <c r="Q223" s="441" t="s">
        <v>531</v>
      </c>
      <c r="R223" s="598" t="s">
        <v>532</v>
      </c>
    </row>
    <row r="224" spans="1:18">
      <c r="A224" s="560" t="s">
        <v>10</v>
      </c>
      <c r="B224" s="560">
        <v>7</v>
      </c>
      <c r="C224" s="561">
        <v>247.5</v>
      </c>
      <c r="D224" s="561">
        <v>2.5099999999999998</v>
      </c>
      <c r="E224" s="561">
        <v>296.33999999999997</v>
      </c>
      <c r="F224" s="561">
        <v>0</v>
      </c>
      <c r="G224" s="584">
        <f>C224+E224</f>
        <v>543.83999999999992</v>
      </c>
      <c r="H224" s="584">
        <f>F224+D224</f>
        <v>2.5099999999999998</v>
      </c>
      <c r="I224" s="584">
        <f>H224/G224%</f>
        <v>0.46153280376581352</v>
      </c>
      <c r="J224" s="561">
        <v>205.92</v>
      </c>
      <c r="K224" s="561">
        <v>0</v>
      </c>
      <c r="L224" s="561">
        <f>K224/J224%</f>
        <v>0</v>
      </c>
      <c r="M224" s="561">
        <v>1309</v>
      </c>
      <c r="N224" s="561">
        <v>64.78</v>
      </c>
      <c r="O224" s="600">
        <f t="shared" ref="O224:O231" si="144">(N224/M224*100)</f>
        <v>4.9488158899923604</v>
      </c>
      <c r="P224" s="584">
        <f>G224+J224+M224</f>
        <v>2058.7599999999998</v>
      </c>
      <c r="Q224" s="584">
        <f>N224+K224+H224</f>
        <v>67.290000000000006</v>
      </c>
      <c r="R224" s="584">
        <f>Q224/P224%</f>
        <v>3.2684722842876299</v>
      </c>
    </row>
    <row r="225" spans="1:18">
      <c r="A225" s="442" t="s">
        <v>17</v>
      </c>
      <c r="B225" s="442">
        <v>1</v>
      </c>
      <c r="C225" s="561">
        <v>50.6</v>
      </c>
      <c r="D225" s="561">
        <v>1.1499999999999999</v>
      </c>
      <c r="E225" s="561">
        <v>52.86</v>
      </c>
      <c r="F225" s="561">
        <v>0</v>
      </c>
      <c r="G225" s="584">
        <f t="shared" ref="G225:G231" si="145">C225+E225</f>
        <v>103.46000000000001</v>
      </c>
      <c r="H225" s="584">
        <f t="shared" ref="H225:H231" si="146">F225+D225</f>
        <v>1.1499999999999999</v>
      </c>
      <c r="I225" s="584">
        <f t="shared" ref="I225:I231" si="147">H225/G225%</f>
        <v>1.1115406920549002</v>
      </c>
      <c r="J225" s="561">
        <v>22.44</v>
      </c>
      <c r="K225" s="561">
        <v>0</v>
      </c>
      <c r="L225" s="561">
        <f t="shared" ref="L225:L231" si="148">K225/J225%</f>
        <v>0</v>
      </c>
      <c r="M225" s="561">
        <v>54.07</v>
      </c>
      <c r="N225" s="561">
        <v>10</v>
      </c>
      <c r="O225" s="600">
        <f t="shared" si="144"/>
        <v>18.494544109487702</v>
      </c>
      <c r="P225" s="584">
        <f t="shared" ref="P225:P231" si="149">G225+J225+M225</f>
        <v>179.97</v>
      </c>
      <c r="Q225" s="584">
        <f t="shared" ref="Q225:Q231" si="150">N225+K225+H225</f>
        <v>11.15</v>
      </c>
      <c r="R225" s="584">
        <f t="shared" ref="R225:R231" si="151">Q225/P225%</f>
        <v>6.1954770239484356</v>
      </c>
    </row>
    <row r="226" spans="1:18">
      <c r="A226" s="442" t="s">
        <v>11</v>
      </c>
      <c r="B226" s="442">
        <v>1</v>
      </c>
      <c r="C226" s="561">
        <v>16.5</v>
      </c>
      <c r="D226" s="561">
        <v>0</v>
      </c>
      <c r="E226" s="561">
        <v>0</v>
      </c>
      <c r="F226" s="561">
        <v>0</v>
      </c>
      <c r="G226" s="584">
        <f t="shared" si="145"/>
        <v>16.5</v>
      </c>
      <c r="H226" s="584">
        <f t="shared" si="146"/>
        <v>0</v>
      </c>
      <c r="I226" s="584">
        <f t="shared" si="147"/>
        <v>0</v>
      </c>
      <c r="J226" s="561">
        <v>7.7</v>
      </c>
      <c r="K226" s="561">
        <v>0</v>
      </c>
      <c r="L226" s="561">
        <f t="shared" si="148"/>
        <v>0</v>
      </c>
      <c r="M226" s="561">
        <v>2.2000000000000002</v>
      </c>
      <c r="N226" s="561">
        <v>0</v>
      </c>
      <c r="O226" s="600">
        <f t="shared" si="144"/>
        <v>0</v>
      </c>
      <c r="P226" s="584">
        <f t="shared" si="149"/>
        <v>26.4</v>
      </c>
      <c r="Q226" s="584">
        <f t="shared" si="150"/>
        <v>0</v>
      </c>
      <c r="R226" s="584">
        <f t="shared" si="151"/>
        <v>0</v>
      </c>
    </row>
    <row r="227" spans="1:18">
      <c r="A227" s="442" t="s">
        <v>24</v>
      </c>
      <c r="B227" s="442">
        <v>2</v>
      </c>
      <c r="C227" s="561">
        <v>38.5</v>
      </c>
      <c r="D227" s="561">
        <v>0</v>
      </c>
      <c r="E227" s="561">
        <v>10.01</v>
      </c>
      <c r="F227" s="561">
        <v>0</v>
      </c>
      <c r="G227" s="584">
        <f t="shared" si="145"/>
        <v>48.51</v>
      </c>
      <c r="H227" s="584">
        <f t="shared" si="146"/>
        <v>0</v>
      </c>
      <c r="I227" s="584">
        <f t="shared" si="147"/>
        <v>0</v>
      </c>
      <c r="J227" s="561">
        <v>93.5</v>
      </c>
      <c r="K227" s="561">
        <v>0</v>
      </c>
      <c r="L227" s="561">
        <f t="shared" si="148"/>
        <v>0</v>
      </c>
      <c r="M227" s="561">
        <v>397.32</v>
      </c>
      <c r="N227" s="561">
        <v>0</v>
      </c>
      <c r="O227" s="600">
        <f t="shared" si="144"/>
        <v>0</v>
      </c>
      <c r="P227" s="584">
        <f t="shared" si="149"/>
        <v>539.32999999999993</v>
      </c>
      <c r="Q227" s="584">
        <f t="shared" si="150"/>
        <v>0</v>
      </c>
      <c r="R227" s="584">
        <f t="shared" si="151"/>
        <v>0</v>
      </c>
    </row>
    <row r="228" spans="1:18">
      <c r="A228" s="442" t="s">
        <v>32</v>
      </c>
      <c r="B228" s="442">
        <v>1</v>
      </c>
      <c r="C228" s="561">
        <v>44</v>
      </c>
      <c r="D228" s="561">
        <v>0</v>
      </c>
      <c r="E228" s="561">
        <v>2.5299999999999998</v>
      </c>
      <c r="F228" s="561">
        <v>0</v>
      </c>
      <c r="G228" s="584">
        <f t="shared" si="145"/>
        <v>46.53</v>
      </c>
      <c r="H228" s="584">
        <f t="shared" si="146"/>
        <v>0</v>
      </c>
      <c r="I228" s="584">
        <f t="shared" si="147"/>
        <v>0</v>
      </c>
      <c r="J228" s="561">
        <v>3.3</v>
      </c>
      <c r="K228" s="561">
        <v>0</v>
      </c>
      <c r="L228" s="561">
        <f t="shared" si="148"/>
        <v>0</v>
      </c>
      <c r="M228" s="561">
        <v>55.11</v>
      </c>
      <c r="N228" s="561">
        <v>0</v>
      </c>
      <c r="O228" s="600">
        <f t="shared" si="144"/>
        <v>0</v>
      </c>
      <c r="P228" s="584">
        <f t="shared" si="149"/>
        <v>104.94</v>
      </c>
      <c r="Q228" s="584">
        <f t="shared" si="150"/>
        <v>0</v>
      </c>
      <c r="R228" s="584">
        <f t="shared" si="151"/>
        <v>0</v>
      </c>
    </row>
    <row r="229" spans="1:18">
      <c r="A229" s="442" t="s">
        <v>502</v>
      </c>
      <c r="B229" s="442">
        <f>SUM(B224:B228)</f>
        <v>12</v>
      </c>
      <c r="C229" s="443">
        <f>SUM(C224:C228)</f>
        <v>397.1</v>
      </c>
      <c r="D229" s="599">
        <f>SUM(D224:D227)</f>
        <v>3.6599999999999997</v>
      </c>
      <c r="E229" s="599">
        <f>SUM(E224:E228)</f>
        <v>361.73999999999995</v>
      </c>
      <c r="F229" s="599">
        <f>SUM(F224:F227)</f>
        <v>0</v>
      </c>
      <c r="G229" s="584">
        <f t="shared" si="145"/>
        <v>758.83999999999992</v>
      </c>
      <c r="H229" s="584">
        <f t="shared" si="146"/>
        <v>3.6599999999999997</v>
      </c>
      <c r="I229" s="584">
        <f t="shared" si="147"/>
        <v>0.48231511254019294</v>
      </c>
      <c r="J229" s="599">
        <f>SUM(J224:J228)</f>
        <v>332.85999999999996</v>
      </c>
      <c r="K229" s="599">
        <f>SUM(K224:K227)</f>
        <v>0</v>
      </c>
      <c r="L229" s="561">
        <f t="shared" si="148"/>
        <v>0</v>
      </c>
      <c r="M229" s="599">
        <f>SUM(M224:M228)</f>
        <v>1817.6999999999998</v>
      </c>
      <c r="N229" s="599">
        <f>SUM(N224:N228)</f>
        <v>74.78</v>
      </c>
      <c r="O229" s="600">
        <f t="shared" si="144"/>
        <v>4.1139902074049628</v>
      </c>
      <c r="P229" s="584">
        <f t="shared" si="149"/>
        <v>2909.3999999999996</v>
      </c>
      <c r="Q229" s="584">
        <f t="shared" si="150"/>
        <v>78.44</v>
      </c>
      <c r="R229" s="584">
        <f t="shared" si="151"/>
        <v>2.6960885405925623</v>
      </c>
    </row>
    <row r="230" spans="1:18">
      <c r="A230" s="442" t="s">
        <v>507</v>
      </c>
      <c r="B230" s="442">
        <v>1</v>
      </c>
      <c r="C230" s="561">
        <v>4.07</v>
      </c>
      <c r="D230" s="561">
        <v>0</v>
      </c>
      <c r="E230" s="561">
        <v>92.95</v>
      </c>
      <c r="F230" s="561">
        <v>0</v>
      </c>
      <c r="G230" s="584">
        <f t="shared" si="145"/>
        <v>97.02000000000001</v>
      </c>
      <c r="H230" s="584">
        <f t="shared" si="146"/>
        <v>0</v>
      </c>
      <c r="I230" s="584">
        <f t="shared" si="147"/>
        <v>0</v>
      </c>
      <c r="J230" s="561">
        <v>6.05</v>
      </c>
      <c r="K230" s="561">
        <v>0</v>
      </c>
      <c r="L230" s="561">
        <f t="shared" si="148"/>
        <v>0</v>
      </c>
      <c r="M230" s="561">
        <v>57.2</v>
      </c>
      <c r="N230" s="561">
        <v>0</v>
      </c>
      <c r="O230" s="600">
        <f t="shared" si="144"/>
        <v>0</v>
      </c>
      <c r="P230" s="584">
        <f t="shared" si="149"/>
        <v>160.27000000000001</v>
      </c>
      <c r="Q230" s="584">
        <f t="shared" si="150"/>
        <v>0</v>
      </c>
      <c r="R230" s="584">
        <f t="shared" si="151"/>
        <v>0</v>
      </c>
    </row>
    <row r="231" spans="1:18">
      <c r="A231" s="442" t="s">
        <v>505</v>
      </c>
      <c r="B231" s="442">
        <f>SUM(B229:B230)</f>
        <v>13</v>
      </c>
      <c r="C231" s="443">
        <f>SUM(C229:C230)</f>
        <v>401.17</v>
      </c>
      <c r="D231" s="443">
        <f t="shared" ref="D231:N231" si="152">SUM(D229:D230)</f>
        <v>3.6599999999999997</v>
      </c>
      <c r="E231" s="443">
        <f t="shared" si="152"/>
        <v>454.68999999999994</v>
      </c>
      <c r="F231" s="443">
        <f t="shared" si="152"/>
        <v>0</v>
      </c>
      <c r="G231" s="584">
        <f t="shared" si="145"/>
        <v>855.8599999999999</v>
      </c>
      <c r="H231" s="584">
        <f t="shared" si="146"/>
        <v>3.6599999999999997</v>
      </c>
      <c r="I231" s="584">
        <f t="shared" si="147"/>
        <v>0.42764003458509575</v>
      </c>
      <c r="J231" s="443">
        <f t="shared" si="152"/>
        <v>338.90999999999997</v>
      </c>
      <c r="K231" s="443">
        <f t="shared" si="152"/>
        <v>0</v>
      </c>
      <c r="L231" s="561">
        <f t="shared" si="148"/>
        <v>0</v>
      </c>
      <c r="M231" s="443">
        <f t="shared" si="152"/>
        <v>1874.8999999999999</v>
      </c>
      <c r="N231" s="443">
        <f t="shared" si="152"/>
        <v>74.78</v>
      </c>
      <c r="O231" s="600">
        <f t="shared" si="144"/>
        <v>3.9884793855672305</v>
      </c>
      <c r="P231" s="584">
        <f t="shared" si="149"/>
        <v>3069.67</v>
      </c>
      <c r="Q231" s="584">
        <f t="shared" si="150"/>
        <v>78.44</v>
      </c>
      <c r="R231" s="584">
        <f t="shared" si="151"/>
        <v>2.5553235364061933</v>
      </c>
    </row>
    <row r="232" spans="1:18">
      <c r="A232" s="574"/>
      <c r="B232" s="574"/>
      <c r="C232" s="580"/>
      <c r="D232" s="567"/>
      <c r="E232" s="567"/>
      <c r="F232" s="567"/>
      <c r="G232" s="567"/>
      <c r="H232" s="567"/>
      <c r="I232" s="609"/>
      <c r="J232" s="567"/>
      <c r="K232" s="567"/>
      <c r="L232" s="609"/>
      <c r="M232" s="567"/>
      <c r="N232" s="567"/>
      <c r="O232" s="609"/>
      <c r="P232" s="567"/>
      <c r="Q232" s="567"/>
      <c r="R232" s="609"/>
    </row>
    <row r="233" spans="1:18">
      <c r="A233" s="568"/>
      <c r="B233" s="568"/>
      <c r="C233" s="611"/>
      <c r="D233" s="569"/>
      <c r="E233" s="569"/>
      <c r="F233" s="569"/>
      <c r="G233" s="570"/>
      <c r="H233" s="570"/>
      <c r="I233" s="612"/>
      <c r="J233" s="570"/>
      <c r="K233" s="570"/>
      <c r="L233" s="612"/>
      <c r="M233" s="570"/>
      <c r="N233" s="570"/>
      <c r="O233" s="612"/>
      <c r="P233" s="570"/>
      <c r="Q233" s="570"/>
      <c r="R233" s="612"/>
    </row>
    <row r="234" spans="1:18">
      <c r="A234" s="606" t="s">
        <v>513</v>
      </c>
      <c r="B234" s="606"/>
      <c r="C234" s="632"/>
      <c r="D234" s="1626" t="s">
        <v>555</v>
      </c>
      <c r="E234" s="1626"/>
      <c r="F234" s="1626"/>
      <c r="G234" s="1626"/>
      <c r="H234" s="1626"/>
      <c r="I234" s="1626"/>
      <c r="J234" s="1626"/>
      <c r="K234" s="1626"/>
      <c r="L234" s="1626"/>
      <c r="M234" s="1626"/>
      <c r="N234" s="1626"/>
      <c r="O234" s="1626"/>
      <c r="P234" s="1626"/>
      <c r="Q234" s="1626"/>
      <c r="R234" s="1626"/>
    </row>
    <row r="235" spans="1:18">
      <c r="A235" s="1621" t="s">
        <v>500</v>
      </c>
      <c r="B235" s="1622" t="s">
        <v>497</v>
      </c>
      <c r="C235" s="1622" t="s">
        <v>484</v>
      </c>
      <c r="D235" s="1622"/>
      <c r="E235" s="1622" t="s">
        <v>485</v>
      </c>
      <c r="F235" s="1622"/>
      <c r="G235" s="1625" t="s">
        <v>486</v>
      </c>
      <c r="H235" s="1625"/>
      <c r="I235" s="1625"/>
      <c r="J235" s="1625" t="s">
        <v>487</v>
      </c>
      <c r="K235" s="1625"/>
      <c r="L235" s="1625"/>
      <c r="M235" s="1625" t="s">
        <v>488</v>
      </c>
      <c r="N235" s="1625"/>
      <c r="O235" s="1625"/>
      <c r="P235" s="1625" t="s">
        <v>489</v>
      </c>
      <c r="Q235" s="1625"/>
      <c r="R235" s="1625"/>
    </row>
    <row r="236" spans="1:18">
      <c r="A236" s="1621"/>
      <c r="B236" s="1622"/>
      <c r="C236" s="597" t="s">
        <v>530</v>
      </c>
      <c r="D236" s="441" t="s">
        <v>531</v>
      </c>
      <c r="E236" s="441" t="s">
        <v>490</v>
      </c>
      <c r="F236" s="441" t="s">
        <v>531</v>
      </c>
      <c r="G236" s="441" t="s">
        <v>490</v>
      </c>
      <c r="H236" s="441" t="s">
        <v>531</v>
      </c>
      <c r="I236" s="598" t="s">
        <v>532</v>
      </c>
      <c r="J236" s="441" t="s">
        <v>490</v>
      </c>
      <c r="K236" s="441" t="s">
        <v>531</v>
      </c>
      <c r="L236" s="598" t="s">
        <v>532</v>
      </c>
      <c r="M236" s="441" t="s">
        <v>490</v>
      </c>
      <c r="N236" s="441" t="s">
        <v>531</v>
      </c>
      <c r="O236" s="598" t="s">
        <v>532</v>
      </c>
      <c r="P236" s="441" t="s">
        <v>490</v>
      </c>
      <c r="Q236" s="441" t="s">
        <v>531</v>
      </c>
      <c r="R236" s="598" t="s">
        <v>532</v>
      </c>
    </row>
    <row r="237" spans="1:18">
      <c r="A237" s="560" t="s">
        <v>10</v>
      </c>
      <c r="B237" s="560">
        <v>3</v>
      </c>
      <c r="C237" s="561">
        <v>106.26</v>
      </c>
      <c r="D237" s="561">
        <v>0</v>
      </c>
      <c r="E237" s="561">
        <v>125.29</v>
      </c>
      <c r="F237" s="561">
        <v>0</v>
      </c>
      <c r="G237" s="562">
        <f>C237+E237</f>
        <v>231.55</v>
      </c>
      <c r="H237" s="562">
        <f>F237+D237</f>
        <v>0</v>
      </c>
      <c r="I237" s="600">
        <f t="shared" ref="I237:I244" si="153">(H237/G237*100)</f>
        <v>0</v>
      </c>
      <c r="J237" s="561">
        <v>88.22</v>
      </c>
      <c r="K237" s="561">
        <v>0</v>
      </c>
      <c r="L237" s="600">
        <f t="shared" ref="L237:L244" si="154">(K237/J237*100)</f>
        <v>0</v>
      </c>
      <c r="M237" s="561">
        <v>561</v>
      </c>
      <c r="N237" s="561">
        <v>54.44</v>
      </c>
      <c r="O237" s="600">
        <f t="shared" ref="O237:O244" si="155">(N237/M237*100)</f>
        <v>9.7040998217468797</v>
      </c>
      <c r="P237" s="562">
        <f>G237+J237+M238</f>
        <v>321.96999999999997</v>
      </c>
      <c r="Q237" s="599">
        <f t="shared" ref="Q237:Q243" si="156">H237+K237+N237</f>
        <v>54.44</v>
      </c>
      <c r="R237" s="600">
        <f t="shared" ref="R237:R244" si="157">(Q237/P237*100)</f>
        <v>16.908407615616365</v>
      </c>
    </row>
    <row r="238" spans="1:18">
      <c r="A238" s="442" t="s">
        <v>11</v>
      </c>
      <c r="B238" s="442">
        <v>1</v>
      </c>
      <c r="C238" s="561">
        <v>22</v>
      </c>
      <c r="D238" s="561">
        <v>0</v>
      </c>
      <c r="E238" s="561">
        <v>0</v>
      </c>
      <c r="F238" s="561">
        <v>0</v>
      </c>
      <c r="G238" s="562">
        <f t="shared" ref="G238:G243" si="158">C238+E238</f>
        <v>22</v>
      </c>
      <c r="H238" s="562">
        <f t="shared" ref="H238:H243" si="159">F238+D238</f>
        <v>0</v>
      </c>
      <c r="I238" s="600">
        <f t="shared" si="153"/>
        <v>0</v>
      </c>
      <c r="J238" s="561">
        <v>7.7</v>
      </c>
      <c r="K238" s="561">
        <v>0</v>
      </c>
      <c r="L238" s="600">
        <f t="shared" si="154"/>
        <v>0</v>
      </c>
      <c r="M238" s="561">
        <v>2.2000000000000002</v>
      </c>
      <c r="N238" s="561">
        <v>0</v>
      </c>
      <c r="O238" s="600">
        <f t="shared" si="155"/>
        <v>0</v>
      </c>
      <c r="P238" s="562">
        <f t="shared" ref="P238:P244" si="160">G238+J238+M239</f>
        <v>36.85</v>
      </c>
      <c r="Q238" s="599">
        <f t="shared" si="156"/>
        <v>0</v>
      </c>
      <c r="R238" s="600">
        <f t="shared" si="157"/>
        <v>0</v>
      </c>
    </row>
    <row r="239" spans="1:18">
      <c r="A239" s="442" t="s">
        <v>26</v>
      </c>
      <c r="B239" s="442">
        <v>1</v>
      </c>
      <c r="C239" s="561">
        <v>19.8</v>
      </c>
      <c r="D239" s="561">
        <v>0</v>
      </c>
      <c r="E239" s="561">
        <v>0</v>
      </c>
      <c r="F239" s="561">
        <v>0</v>
      </c>
      <c r="G239" s="562">
        <f t="shared" si="158"/>
        <v>19.8</v>
      </c>
      <c r="H239" s="562">
        <f t="shared" si="159"/>
        <v>0</v>
      </c>
      <c r="I239" s="600">
        <f t="shared" si="153"/>
        <v>0</v>
      </c>
      <c r="J239" s="561">
        <v>51.54</v>
      </c>
      <c r="K239" s="561">
        <v>0</v>
      </c>
      <c r="L239" s="600">
        <f t="shared" si="154"/>
        <v>0</v>
      </c>
      <c r="M239" s="561">
        <v>7.15</v>
      </c>
      <c r="N239" s="561">
        <v>0</v>
      </c>
      <c r="O239" s="600">
        <f t="shared" si="155"/>
        <v>0</v>
      </c>
      <c r="P239" s="562">
        <f t="shared" si="160"/>
        <v>125.35</v>
      </c>
      <c r="Q239" s="599">
        <f t="shared" si="156"/>
        <v>0</v>
      </c>
      <c r="R239" s="600">
        <f t="shared" si="157"/>
        <v>0</v>
      </c>
    </row>
    <row r="240" spans="1:18">
      <c r="A240" s="442" t="s">
        <v>17</v>
      </c>
      <c r="B240" s="442">
        <v>1</v>
      </c>
      <c r="C240" s="561">
        <v>48.75</v>
      </c>
      <c r="D240" s="561">
        <v>0</v>
      </c>
      <c r="E240" s="561">
        <v>53.35</v>
      </c>
      <c r="F240" s="561">
        <v>0</v>
      </c>
      <c r="G240" s="562">
        <f t="shared" si="158"/>
        <v>102.1</v>
      </c>
      <c r="H240" s="562">
        <f t="shared" si="159"/>
        <v>0</v>
      </c>
      <c r="I240" s="600">
        <f t="shared" si="153"/>
        <v>0</v>
      </c>
      <c r="J240" s="561">
        <v>22.44</v>
      </c>
      <c r="K240" s="561">
        <v>0</v>
      </c>
      <c r="L240" s="600">
        <f t="shared" si="154"/>
        <v>0</v>
      </c>
      <c r="M240" s="561">
        <v>54.01</v>
      </c>
      <c r="N240" s="561">
        <v>23.99</v>
      </c>
      <c r="O240" s="600">
        <f t="shared" si="155"/>
        <v>44.417700425847059</v>
      </c>
      <c r="P240" s="562">
        <f t="shared" si="160"/>
        <v>521.86</v>
      </c>
      <c r="Q240" s="599">
        <f t="shared" si="156"/>
        <v>23.99</v>
      </c>
      <c r="R240" s="600">
        <f t="shared" si="157"/>
        <v>4.597018357413865</v>
      </c>
    </row>
    <row r="241" spans="1:18">
      <c r="A241" s="442" t="s">
        <v>24</v>
      </c>
      <c r="B241" s="442">
        <v>1</v>
      </c>
      <c r="C241" s="561">
        <v>22</v>
      </c>
      <c r="D241" s="561">
        <v>0</v>
      </c>
      <c r="E241" s="561">
        <v>10.01</v>
      </c>
      <c r="F241" s="561">
        <v>0</v>
      </c>
      <c r="G241" s="562">
        <f t="shared" si="158"/>
        <v>32.01</v>
      </c>
      <c r="H241" s="562">
        <f t="shared" si="159"/>
        <v>0</v>
      </c>
      <c r="I241" s="600">
        <f t="shared" si="153"/>
        <v>0</v>
      </c>
      <c r="J241" s="561">
        <v>87.45</v>
      </c>
      <c r="K241" s="561">
        <v>0</v>
      </c>
      <c r="L241" s="600">
        <f t="shared" si="154"/>
        <v>0</v>
      </c>
      <c r="M241" s="561">
        <v>397.32</v>
      </c>
      <c r="N241" s="561">
        <v>0</v>
      </c>
      <c r="O241" s="600">
        <f t="shared" si="155"/>
        <v>0</v>
      </c>
      <c r="P241" s="562">
        <f t="shared" si="160"/>
        <v>1141.1400000000001</v>
      </c>
      <c r="Q241" s="599">
        <f t="shared" si="156"/>
        <v>0</v>
      </c>
      <c r="R241" s="600">
        <f t="shared" si="157"/>
        <v>0</v>
      </c>
    </row>
    <row r="242" spans="1:18">
      <c r="A242" s="442" t="s">
        <v>502</v>
      </c>
      <c r="B242" s="442">
        <f>SUM(B237:B241)</f>
        <v>7</v>
      </c>
      <c r="C242" s="443">
        <f>SUM(C237:C241)</f>
        <v>218.81</v>
      </c>
      <c r="D242" s="443">
        <f t="shared" ref="D242:Q242" si="161">SUM(D237:D241)</f>
        <v>0</v>
      </c>
      <c r="E242" s="443">
        <f t="shared" si="161"/>
        <v>188.65</v>
      </c>
      <c r="F242" s="443">
        <f t="shared" si="161"/>
        <v>0</v>
      </c>
      <c r="G242" s="443">
        <f t="shared" si="161"/>
        <v>407.46000000000004</v>
      </c>
      <c r="H242" s="443">
        <f t="shared" si="161"/>
        <v>0</v>
      </c>
      <c r="I242" s="600">
        <f t="shared" si="153"/>
        <v>0</v>
      </c>
      <c r="J242" s="443">
        <f t="shared" si="161"/>
        <v>257.35000000000002</v>
      </c>
      <c r="K242" s="443">
        <f t="shared" si="161"/>
        <v>0</v>
      </c>
      <c r="L242" s="600">
        <f t="shared" si="154"/>
        <v>0</v>
      </c>
      <c r="M242" s="443">
        <f t="shared" si="161"/>
        <v>1021.6800000000001</v>
      </c>
      <c r="N242" s="443">
        <f t="shared" si="161"/>
        <v>78.429999999999993</v>
      </c>
      <c r="O242" s="600">
        <f t="shared" si="155"/>
        <v>7.6765719207579659</v>
      </c>
      <c r="P242" s="562">
        <f t="shared" si="160"/>
        <v>778.94</v>
      </c>
      <c r="Q242" s="443">
        <f t="shared" si="161"/>
        <v>78.429999999999993</v>
      </c>
      <c r="R242" s="600">
        <f t="shared" si="157"/>
        <v>10.068811461730041</v>
      </c>
    </row>
    <row r="243" spans="1:18">
      <c r="A243" s="442" t="s">
        <v>507</v>
      </c>
      <c r="B243" s="442">
        <v>2</v>
      </c>
      <c r="C243" s="561">
        <v>8.25</v>
      </c>
      <c r="D243" s="561">
        <v>0</v>
      </c>
      <c r="E243" s="561">
        <v>185.9</v>
      </c>
      <c r="F243" s="561">
        <v>0</v>
      </c>
      <c r="G243" s="562">
        <f t="shared" si="158"/>
        <v>194.15</v>
      </c>
      <c r="H243" s="562">
        <f t="shared" si="159"/>
        <v>0</v>
      </c>
      <c r="I243" s="600">
        <f t="shared" si="153"/>
        <v>0</v>
      </c>
      <c r="J243" s="561">
        <v>11.94</v>
      </c>
      <c r="K243" s="561">
        <v>0</v>
      </c>
      <c r="L243" s="600">
        <f t="shared" si="154"/>
        <v>0</v>
      </c>
      <c r="M243" s="561">
        <v>114.13</v>
      </c>
      <c r="N243" s="599">
        <v>0</v>
      </c>
      <c r="O243" s="600">
        <f t="shared" si="155"/>
        <v>0</v>
      </c>
      <c r="P243" s="562">
        <f>G243+J243+M244</f>
        <v>1341.8999999999999</v>
      </c>
      <c r="Q243" s="599">
        <f t="shared" si="156"/>
        <v>0</v>
      </c>
      <c r="R243" s="600">
        <f t="shared" si="157"/>
        <v>0</v>
      </c>
    </row>
    <row r="244" spans="1:18">
      <c r="A244" s="442" t="s">
        <v>505</v>
      </c>
      <c r="B244" s="442">
        <f>SUM(B242:B243)</f>
        <v>9</v>
      </c>
      <c r="C244" s="443">
        <f>SUM(C242:C243)</f>
        <v>227.06</v>
      </c>
      <c r="D244" s="443">
        <f t="shared" ref="D244:Q244" si="162">SUM(D242:D243)</f>
        <v>0</v>
      </c>
      <c r="E244" s="443">
        <f t="shared" si="162"/>
        <v>374.55</v>
      </c>
      <c r="F244" s="443">
        <f t="shared" si="162"/>
        <v>0</v>
      </c>
      <c r="G244" s="443">
        <f t="shared" si="162"/>
        <v>601.61</v>
      </c>
      <c r="H244" s="443">
        <f t="shared" si="162"/>
        <v>0</v>
      </c>
      <c r="I244" s="600">
        <f t="shared" si="153"/>
        <v>0</v>
      </c>
      <c r="J244" s="443">
        <f t="shared" si="162"/>
        <v>269.29000000000002</v>
      </c>
      <c r="K244" s="443">
        <f t="shared" si="162"/>
        <v>0</v>
      </c>
      <c r="L244" s="600">
        <f t="shared" si="154"/>
        <v>0</v>
      </c>
      <c r="M244" s="443">
        <f t="shared" si="162"/>
        <v>1135.81</v>
      </c>
      <c r="N244" s="443">
        <f t="shared" si="162"/>
        <v>78.429999999999993</v>
      </c>
      <c r="O244" s="600">
        <f t="shared" si="155"/>
        <v>6.9052042154937876</v>
      </c>
      <c r="P244" s="562">
        <f t="shared" si="160"/>
        <v>870.90000000000009</v>
      </c>
      <c r="Q244" s="443">
        <f t="shared" si="162"/>
        <v>78.429999999999993</v>
      </c>
      <c r="R244" s="600">
        <f t="shared" si="157"/>
        <v>9.0056263635319773</v>
      </c>
    </row>
    <row r="245" spans="1:18">
      <c r="A245" s="445"/>
      <c r="B245" s="445"/>
      <c r="C245" s="605"/>
      <c r="D245" s="446"/>
      <c r="E245" s="446"/>
      <c r="F245" s="446"/>
      <c r="G245" s="446"/>
      <c r="H245" s="446"/>
      <c r="I245" s="445"/>
      <c r="J245" s="446"/>
      <c r="K245" s="446"/>
      <c r="L245" s="445"/>
      <c r="M245" s="446"/>
      <c r="N245" s="446"/>
      <c r="O245" s="445"/>
      <c r="P245" s="446"/>
      <c r="Q245" s="446"/>
      <c r="R245" s="445"/>
    </row>
    <row r="246" spans="1:18">
      <c r="A246" s="445"/>
      <c r="B246" s="445"/>
      <c r="C246" s="605"/>
      <c r="D246" s="446"/>
      <c r="E246" s="446"/>
      <c r="F246" s="446"/>
      <c r="G246" s="446"/>
      <c r="H246" s="446"/>
      <c r="I246" s="445"/>
      <c r="J246" s="446"/>
      <c r="K246" s="446"/>
      <c r="L246" s="445"/>
      <c r="M246" s="446"/>
      <c r="N246" s="446"/>
      <c r="O246" s="445"/>
      <c r="P246" s="446"/>
      <c r="Q246" s="446"/>
      <c r="R246" s="445"/>
    </row>
    <row r="247" spans="1:18">
      <c r="A247" s="445"/>
      <c r="B247" s="445"/>
      <c r="C247" s="605"/>
      <c r="D247" s="446"/>
      <c r="E247" s="446"/>
      <c r="F247" s="446"/>
      <c r="G247" s="446"/>
      <c r="H247" s="446"/>
      <c r="I247" s="445"/>
      <c r="J247" s="446"/>
      <c r="K247" s="446"/>
      <c r="L247" s="445"/>
      <c r="M247" s="446"/>
      <c r="N247" s="446"/>
      <c r="O247" s="445"/>
      <c r="P247" s="446"/>
      <c r="Q247" s="446"/>
      <c r="R247" s="445"/>
    </row>
    <row r="248" spans="1:18">
      <c r="A248" s="445"/>
      <c r="B248" s="445"/>
      <c r="C248" s="605"/>
      <c r="D248" s="446"/>
      <c r="E248" s="446"/>
      <c r="F248" s="446"/>
      <c r="G248" s="440"/>
      <c r="H248" s="440"/>
      <c r="I248" s="439"/>
      <c r="J248" s="576"/>
      <c r="K248" s="576"/>
      <c r="L248" s="633"/>
      <c r="M248" s="440"/>
      <c r="N248" s="440"/>
      <c r="O248" s="445"/>
      <c r="P248" s="446"/>
      <c r="Q248" s="446"/>
      <c r="R248" s="445"/>
    </row>
    <row r="249" spans="1:18" ht="15.75">
      <c r="A249" s="1624"/>
      <c r="B249" s="1624"/>
      <c r="C249" s="1624"/>
      <c r="D249" s="1624"/>
      <c r="E249" s="1624"/>
      <c r="F249" s="1624"/>
      <c r="G249" s="1624"/>
      <c r="H249" s="1624"/>
      <c r="I249" s="1624"/>
      <c r="J249" s="1624"/>
      <c r="K249" s="1624"/>
      <c r="L249" s="1624"/>
      <c r="M249" s="1624"/>
      <c r="N249" s="1624"/>
      <c r="O249" s="1624"/>
      <c r="P249" s="1624"/>
      <c r="Q249" s="1624"/>
      <c r="R249" s="1624"/>
    </row>
    <row r="250" spans="1:18" ht="15.75">
      <c r="A250" s="631"/>
      <c r="B250" s="631"/>
      <c r="C250" s="631"/>
      <c r="D250" s="631"/>
      <c r="E250" s="631"/>
      <c r="F250" s="631"/>
      <c r="G250" s="631"/>
      <c r="H250" s="631"/>
      <c r="I250" s="631"/>
      <c r="J250" s="631"/>
      <c r="K250" s="631"/>
      <c r="L250" s="631"/>
      <c r="M250" s="631"/>
      <c r="N250" s="631"/>
      <c r="O250" s="631"/>
      <c r="P250" s="631"/>
      <c r="Q250" s="631"/>
      <c r="R250" s="631"/>
    </row>
    <row r="251" spans="1:18" ht="15.75">
      <c r="A251" s="631"/>
      <c r="B251" s="631"/>
      <c r="C251" s="631"/>
      <c r="D251" s="631"/>
      <c r="E251" s="631"/>
      <c r="F251" s="631"/>
      <c r="G251" s="631"/>
      <c r="H251" s="631"/>
      <c r="I251" s="631"/>
      <c r="J251" s="631"/>
      <c r="K251" s="631"/>
      <c r="L251" s="631"/>
      <c r="M251" s="631"/>
      <c r="N251" s="631"/>
      <c r="O251" s="631"/>
      <c r="P251" s="631"/>
      <c r="Q251" s="631"/>
      <c r="R251" s="631"/>
    </row>
    <row r="252" spans="1:18" ht="15.75">
      <c r="A252" s="631"/>
      <c r="B252" s="631"/>
      <c r="C252" s="631"/>
      <c r="D252" s="631"/>
      <c r="E252" s="631"/>
      <c r="F252" s="631"/>
      <c r="G252" s="631"/>
      <c r="H252" s="631"/>
      <c r="I252" s="1624">
        <v>90</v>
      </c>
      <c r="J252" s="1624"/>
      <c r="K252" s="631"/>
      <c r="L252" s="631"/>
      <c r="M252" s="631"/>
      <c r="N252" s="631"/>
      <c r="O252" s="631"/>
      <c r="P252" s="631"/>
      <c r="Q252" s="631"/>
      <c r="R252" s="631"/>
    </row>
    <row r="253" spans="1:18">
      <c r="A253" s="445"/>
      <c r="B253" s="445"/>
      <c r="C253" s="605"/>
      <c r="D253" s="446"/>
      <c r="E253" s="446"/>
      <c r="F253" s="446"/>
      <c r="G253" s="591" t="s">
        <v>560</v>
      </c>
      <c r="H253" s="591"/>
      <c r="I253" s="592"/>
      <c r="J253" s="440"/>
      <c r="K253" s="440"/>
      <c r="L253" s="439"/>
      <c r="M253" s="440"/>
      <c r="N253" s="440"/>
      <c r="O253" s="445"/>
      <c r="P253" s="446"/>
      <c r="Q253" s="446"/>
      <c r="R253" s="445"/>
    </row>
    <row r="254" spans="1:18">
      <c r="A254" s="445"/>
      <c r="B254" s="445"/>
      <c r="C254" s="605"/>
      <c r="D254" s="446"/>
      <c r="E254" s="446"/>
      <c r="F254" s="446"/>
      <c r="G254" s="585"/>
      <c r="H254" s="585"/>
      <c r="I254" s="634"/>
      <c r="J254" s="446"/>
      <c r="K254" s="446"/>
      <c r="L254" s="445"/>
      <c r="M254" s="446"/>
      <c r="N254" s="446"/>
      <c r="O254" s="445"/>
      <c r="P254" s="446"/>
      <c r="Q254" s="1619" t="s">
        <v>315</v>
      </c>
      <c r="R254" s="1620"/>
    </row>
    <row r="255" spans="1:18">
      <c r="A255" s="1622" t="s">
        <v>514</v>
      </c>
      <c r="B255" s="1622" t="s">
        <v>497</v>
      </c>
      <c r="C255" s="1622" t="s">
        <v>484</v>
      </c>
      <c r="D255" s="1622"/>
      <c r="E255" s="1622" t="s">
        <v>485</v>
      </c>
      <c r="F255" s="1622"/>
      <c r="G255" s="1625" t="s">
        <v>486</v>
      </c>
      <c r="H255" s="1625"/>
      <c r="I255" s="1625"/>
      <c r="J255" s="1625" t="s">
        <v>487</v>
      </c>
      <c r="K255" s="1625"/>
      <c r="L255" s="1625"/>
      <c r="M255" s="1625" t="s">
        <v>488</v>
      </c>
      <c r="N255" s="1625"/>
      <c r="O255" s="1625"/>
      <c r="P255" s="1625" t="s">
        <v>489</v>
      </c>
      <c r="Q255" s="1625"/>
      <c r="R255" s="1625"/>
    </row>
    <row r="256" spans="1:18">
      <c r="A256" s="1622"/>
      <c r="B256" s="1622"/>
      <c r="C256" s="597" t="s">
        <v>530</v>
      </c>
      <c r="D256" s="441" t="s">
        <v>531</v>
      </c>
      <c r="E256" s="441" t="s">
        <v>490</v>
      </c>
      <c r="F256" s="441" t="s">
        <v>531</v>
      </c>
      <c r="G256" s="441" t="s">
        <v>490</v>
      </c>
      <c r="H256" s="441" t="s">
        <v>531</v>
      </c>
      <c r="I256" s="598" t="s">
        <v>532</v>
      </c>
      <c r="J256" s="441" t="s">
        <v>490</v>
      </c>
      <c r="K256" s="441" t="s">
        <v>531</v>
      </c>
      <c r="L256" s="598" t="s">
        <v>532</v>
      </c>
      <c r="M256" s="441" t="s">
        <v>490</v>
      </c>
      <c r="N256" s="441" t="s">
        <v>531</v>
      </c>
      <c r="O256" s="598" t="s">
        <v>532</v>
      </c>
      <c r="P256" s="441" t="s">
        <v>490</v>
      </c>
      <c r="Q256" s="441" t="s">
        <v>531</v>
      </c>
      <c r="R256" s="598" t="s">
        <v>532</v>
      </c>
    </row>
    <row r="257" spans="1:18">
      <c r="A257" s="442" t="s">
        <v>515</v>
      </c>
      <c r="B257" s="442">
        <f t="shared" ref="B257:Q257" si="163">B13</f>
        <v>11</v>
      </c>
      <c r="C257" s="600">
        <f t="shared" si="163"/>
        <v>333.18999999999994</v>
      </c>
      <c r="D257" s="600">
        <f t="shared" si="163"/>
        <v>38.290000000000006</v>
      </c>
      <c r="E257" s="600">
        <f t="shared" si="163"/>
        <v>398.49</v>
      </c>
      <c r="F257" s="600">
        <f t="shared" si="163"/>
        <v>6.63</v>
      </c>
      <c r="G257" s="600">
        <f t="shared" si="163"/>
        <v>731.68</v>
      </c>
      <c r="H257" s="600">
        <f t="shared" si="163"/>
        <v>44.920000000000009</v>
      </c>
      <c r="I257" s="600">
        <f>H257/G257%</f>
        <v>6.1392958670457043</v>
      </c>
      <c r="J257" s="600">
        <f t="shared" si="163"/>
        <v>246.60999999999999</v>
      </c>
      <c r="K257" s="600">
        <f t="shared" si="163"/>
        <v>1.65</v>
      </c>
      <c r="L257" s="600">
        <f>K257/J257%</f>
        <v>0.66907262479218199</v>
      </c>
      <c r="M257" s="600">
        <f t="shared" si="163"/>
        <v>1619.26</v>
      </c>
      <c r="N257" s="600">
        <f t="shared" si="163"/>
        <v>91.47</v>
      </c>
      <c r="O257" s="600">
        <f>N257/M257%</f>
        <v>5.6488766473574357</v>
      </c>
      <c r="P257" s="600">
        <f t="shared" si="163"/>
        <v>2597.5500000000002</v>
      </c>
      <c r="Q257" s="600">
        <f t="shared" si="163"/>
        <v>138.04000000000002</v>
      </c>
      <c r="R257" s="600">
        <f>Q257/P257%</f>
        <v>5.3142384169698378</v>
      </c>
    </row>
    <row r="258" spans="1:18">
      <c r="A258" s="442" t="s">
        <v>516</v>
      </c>
      <c r="B258" s="586">
        <f t="shared" ref="B258:Q258" si="164">B21</f>
        <v>4</v>
      </c>
      <c r="C258" s="1416">
        <f t="shared" si="164"/>
        <v>47.99</v>
      </c>
      <c r="D258" s="1416">
        <f t="shared" si="164"/>
        <v>0</v>
      </c>
      <c r="E258" s="1416">
        <f t="shared" si="164"/>
        <v>320.54000000000002</v>
      </c>
      <c r="F258" s="1416">
        <f t="shared" si="164"/>
        <v>0</v>
      </c>
      <c r="G258" s="1416">
        <f t="shared" si="164"/>
        <v>368.53000000000003</v>
      </c>
      <c r="H258" s="1416">
        <f t="shared" si="164"/>
        <v>0</v>
      </c>
      <c r="I258" s="600">
        <f t="shared" ref="I258:I277" si="165">H258/G258%</f>
        <v>0</v>
      </c>
      <c r="J258" s="1416">
        <f t="shared" si="164"/>
        <v>47.31</v>
      </c>
      <c r="K258" s="1416">
        <f t="shared" si="164"/>
        <v>0</v>
      </c>
      <c r="L258" s="600">
        <f t="shared" ref="L258:L277" si="166">K258/J258%</f>
        <v>0</v>
      </c>
      <c r="M258" s="1416">
        <f t="shared" si="164"/>
        <v>358.22</v>
      </c>
      <c r="N258" s="1416">
        <f t="shared" si="164"/>
        <v>0</v>
      </c>
      <c r="O258" s="600">
        <f t="shared" ref="O258:O277" si="167">N258/M258%</f>
        <v>0</v>
      </c>
      <c r="P258" s="1416">
        <f t="shared" si="164"/>
        <v>774.06000000000006</v>
      </c>
      <c r="Q258" s="1416">
        <f t="shared" si="164"/>
        <v>0</v>
      </c>
      <c r="R258" s="600">
        <f t="shared" ref="R258:R277" si="168">Q258/P258%</f>
        <v>0</v>
      </c>
    </row>
    <row r="259" spans="1:18">
      <c r="A259" s="442" t="s">
        <v>517</v>
      </c>
      <c r="B259" s="586">
        <f t="shared" ref="B259:Q259" si="169">B28</f>
        <v>1</v>
      </c>
      <c r="C259" s="1416">
        <f t="shared" si="169"/>
        <v>35.75</v>
      </c>
      <c r="D259" s="1416">
        <f t="shared" si="169"/>
        <v>0</v>
      </c>
      <c r="E259" s="1416">
        <f t="shared" si="169"/>
        <v>41.8</v>
      </c>
      <c r="F259" s="1416">
        <f t="shared" si="169"/>
        <v>0</v>
      </c>
      <c r="G259" s="1416">
        <f t="shared" si="169"/>
        <v>77.55</v>
      </c>
      <c r="H259" s="1416">
        <f t="shared" si="169"/>
        <v>0</v>
      </c>
      <c r="I259" s="600">
        <f t="shared" si="165"/>
        <v>0</v>
      </c>
      <c r="J259" s="1416">
        <f t="shared" si="169"/>
        <v>29.43</v>
      </c>
      <c r="K259" s="1416">
        <f t="shared" si="169"/>
        <v>0</v>
      </c>
      <c r="L259" s="600">
        <f t="shared" si="166"/>
        <v>0</v>
      </c>
      <c r="M259" s="1416">
        <f t="shared" si="169"/>
        <v>187</v>
      </c>
      <c r="N259" s="1416">
        <f t="shared" si="169"/>
        <v>15.26</v>
      </c>
      <c r="O259" s="600">
        <f t="shared" si="167"/>
        <v>8.1604278074866308</v>
      </c>
      <c r="P259" s="1416">
        <f t="shared" si="169"/>
        <v>293.98</v>
      </c>
      <c r="Q259" s="1416">
        <f t="shared" si="169"/>
        <v>15.26</v>
      </c>
      <c r="R259" s="600">
        <f t="shared" si="168"/>
        <v>5.1908293081161982</v>
      </c>
    </row>
    <row r="260" spans="1:18">
      <c r="A260" s="442" t="s">
        <v>518</v>
      </c>
      <c r="B260" s="586">
        <f t="shared" ref="B260:Q260" si="170">B38</f>
        <v>7</v>
      </c>
      <c r="C260" s="1416">
        <f t="shared" si="170"/>
        <v>185.3</v>
      </c>
      <c r="D260" s="1416">
        <f t="shared" si="170"/>
        <v>21.55</v>
      </c>
      <c r="E260" s="1416">
        <f t="shared" si="170"/>
        <v>208.12</v>
      </c>
      <c r="F260" s="1416">
        <f t="shared" si="170"/>
        <v>6.63</v>
      </c>
      <c r="G260" s="1416">
        <f t="shared" si="170"/>
        <v>393.42</v>
      </c>
      <c r="H260" s="1416">
        <f t="shared" si="170"/>
        <v>28.18</v>
      </c>
      <c r="I260" s="600">
        <f t="shared" si="165"/>
        <v>7.1628285293071015</v>
      </c>
      <c r="J260" s="1416">
        <f t="shared" si="170"/>
        <v>68.570000000000007</v>
      </c>
      <c r="K260" s="1416">
        <f t="shared" si="170"/>
        <v>2.61</v>
      </c>
      <c r="L260" s="600">
        <f t="shared" si="166"/>
        <v>3.8063292985270518</v>
      </c>
      <c r="M260" s="1416">
        <f t="shared" si="170"/>
        <v>686.24</v>
      </c>
      <c r="N260" s="1416">
        <f t="shared" si="170"/>
        <v>72.789999999999992</v>
      </c>
      <c r="O260" s="600">
        <f t="shared" si="167"/>
        <v>10.607076241548144</v>
      </c>
      <c r="P260" s="1416">
        <f t="shared" si="170"/>
        <v>1148.23</v>
      </c>
      <c r="Q260" s="1416">
        <f t="shared" si="170"/>
        <v>103.57999999999998</v>
      </c>
      <c r="R260" s="600">
        <f t="shared" si="168"/>
        <v>9.0208407723191328</v>
      </c>
    </row>
    <row r="261" spans="1:18">
      <c r="A261" s="442" t="s">
        <v>519</v>
      </c>
      <c r="B261" s="586">
        <f t="shared" ref="B261:Q261" si="171">B59</f>
        <v>17</v>
      </c>
      <c r="C261" s="1416">
        <f t="shared" si="171"/>
        <v>501.63</v>
      </c>
      <c r="D261" s="1416">
        <f t="shared" si="171"/>
        <v>22.32</v>
      </c>
      <c r="E261" s="1416">
        <f t="shared" si="171"/>
        <v>528.08000000000004</v>
      </c>
      <c r="F261" s="1416">
        <f t="shared" si="171"/>
        <v>13.76</v>
      </c>
      <c r="G261" s="1416">
        <f t="shared" si="171"/>
        <v>1029.71</v>
      </c>
      <c r="H261" s="1416">
        <f t="shared" si="171"/>
        <v>22.32</v>
      </c>
      <c r="I261" s="600">
        <f t="shared" si="165"/>
        <v>2.1676005865729184</v>
      </c>
      <c r="J261" s="1416">
        <f t="shared" si="171"/>
        <v>823.17</v>
      </c>
      <c r="K261" s="1416">
        <f t="shared" si="171"/>
        <v>3.9499999999999997</v>
      </c>
      <c r="L261" s="600">
        <f t="shared" si="166"/>
        <v>0.4798522783872104</v>
      </c>
      <c r="M261" s="1416">
        <f t="shared" si="171"/>
        <v>2293.34</v>
      </c>
      <c r="N261" s="1416">
        <f t="shared" si="171"/>
        <v>94.52</v>
      </c>
      <c r="O261" s="600">
        <f t="shared" si="167"/>
        <v>4.1214996468033513</v>
      </c>
      <c r="P261" s="1416">
        <f t="shared" si="171"/>
        <v>4146.22</v>
      </c>
      <c r="Q261" s="1416">
        <f t="shared" si="171"/>
        <v>120.78999999999999</v>
      </c>
      <c r="R261" s="600">
        <f t="shared" si="168"/>
        <v>2.9132559294972284</v>
      </c>
    </row>
    <row r="262" spans="1:18">
      <c r="A262" s="442" t="s">
        <v>520</v>
      </c>
      <c r="B262" s="586">
        <f t="shared" ref="B262:Q262" si="172">B71</f>
        <v>16</v>
      </c>
      <c r="C262" s="1416">
        <f t="shared" si="172"/>
        <v>430.87999999999994</v>
      </c>
      <c r="D262" s="1416">
        <f t="shared" si="172"/>
        <v>22.6</v>
      </c>
      <c r="E262" s="1416">
        <f t="shared" si="172"/>
        <v>821.38</v>
      </c>
      <c r="F262" s="1416">
        <f t="shared" si="172"/>
        <v>11.05</v>
      </c>
      <c r="G262" s="1416">
        <f t="shared" si="172"/>
        <v>1252.26</v>
      </c>
      <c r="H262" s="1416">
        <f t="shared" si="172"/>
        <v>33.650000000000006</v>
      </c>
      <c r="I262" s="600">
        <f t="shared" si="165"/>
        <v>2.6871416479005958</v>
      </c>
      <c r="J262" s="1416">
        <f t="shared" si="172"/>
        <v>458.49</v>
      </c>
      <c r="K262" s="1416">
        <f t="shared" si="172"/>
        <v>15.43</v>
      </c>
      <c r="L262" s="600">
        <f t="shared" si="166"/>
        <v>3.3653951013108245</v>
      </c>
      <c r="M262" s="1416">
        <f t="shared" si="172"/>
        <v>2646.73</v>
      </c>
      <c r="N262" s="1416">
        <f t="shared" si="172"/>
        <v>110.14</v>
      </c>
      <c r="O262" s="600">
        <f t="shared" si="167"/>
        <v>4.1613613780022893</v>
      </c>
      <c r="P262" s="1416">
        <f t="shared" si="172"/>
        <v>4357.4799999999996</v>
      </c>
      <c r="Q262" s="1416">
        <f t="shared" si="172"/>
        <v>159.22</v>
      </c>
      <c r="R262" s="600">
        <f t="shared" si="168"/>
        <v>3.6539467765772882</v>
      </c>
    </row>
    <row r="263" spans="1:18">
      <c r="A263" s="442" t="s">
        <v>29</v>
      </c>
      <c r="B263" s="586">
        <f t="shared" ref="B263:Q263" si="173">B80</f>
        <v>4</v>
      </c>
      <c r="C263" s="1416">
        <f t="shared" si="173"/>
        <v>112.75</v>
      </c>
      <c r="D263" s="1416">
        <f t="shared" si="173"/>
        <v>11.16</v>
      </c>
      <c r="E263" s="1416">
        <f t="shared" si="173"/>
        <v>68.09</v>
      </c>
      <c r="F263" s="1416">
        <f t="shared" si="173"/>
        <v>6.63</v>
      </c>
      <c r="G263" s="1416">
        <f t="shared" si="173"/>
        <v>180.84</v>
      </c>
      <c r="H263" s="1416">
        <f t="shared" si="173"/>
        <v>17.79</v>
      </c>
      <c r="I263" s="600">
        <f t="shared" si="165"/>
        <v>9.8374253483742535</v>
      </c>
      <c r="J263" s="1416">
        <f t="shared" si="173"/>
        <v>36.47</v>
      </c>
      <c r="K263" s="1416">
        <f t="shared" si="173"/>
        <v>1.65</v>
      </c>
      <c r="L263" s="600">
        <f t="shared" si="166"/>
        <v>4.5242665204277488</v>
      </c>
      <c r="M263" s="1416">
        <f t="shared" si="173"/>
        <v>492.47</v>
      </c>
      <c r="N263" s="1416">
        <f t="shared" si="173"/>
        <v>36.119999999999997</v>
      </c>
      <c r="O263" s="600">
        <f t="shared" si="167"/>
        <v>7.3344569212337793</v>
      </c>
      <c r="P263" s="1416">
        <f t="shared" si="173"/>
        <v>709.78</v>
      </c>
      <c r="Q263" s="1416">
        <f t="shared" si="173"/>
        <v>55.559999999999995</v>
      </c>
      <c r="R263" s="600">
        <f t="shared" si="168"/>
        <v>7.8277776212347483</v>
      </c>
    </row>
    <row r="264" spans="1:18">
      <c r="A264" s="442" t="s">
        <v>521</v>
      </c>
      <c r="B264" s="586">
        <f t="shared" ref="B264:Q264" si="174">B93</f>
        <v>7</v>
      </c>
      <c r="C264" s="1416">
        <f t="shared" si="174"/>
        <v>133.93</v>
      </c>
      <c r="D264" s="1416">
        <f t="shared" si="174"/>
        <v>7.44</v>
      </c>
      <c r="E264" s="1416">
        <f t="shared" si="174"/>
        <v>380.55</v>
      </c>
      <c r="F264" s="1416">
        <f t="shared" si="174"/>
        <v>4.42</v>
      </c>
      <c r="G264" s="1416">
        <f t="shared" si="174"/>
        <v>514.48</v>
      </c>
      <c r="H264" s="1416">
        <f t="shared" si="174"/>
        <v>11.86</v>
      </c>
      <c r="I264" s="600">
        <f t="shared" si="165"/>
        <v>2.3052402425750271</v>
      </c>
      <c r="J264" s="1416">
        <f t="shared" si="174"/>
        <v>81.349999999999994</v>
      </c>
      <c r="K264" s="1416">
        <f t="shared" si="174"/>
        <v>1.1000000000000001</v>
      </c>
      <c r="L264" s="600">
        <f t="shared" si="166"/>
        <v>1.3521819299323912</v>
      </c>
      <c r="M264" s="1416">
        <f t="shared" si="174"/>
        <v>748.83</v>
      </c>
      <c r="N264" s="1416">
        <f t="shared" si="174"/>
        <v>50.209999999999994</v>
      </c>
      <c r="O264" s="600">
        <f t="shared" si="167"/>
        <v>6.7051266642629157</v>
      </c>
      <c r="P264" s="1416">
        <f t="shared" si="174"/>
        <v>1344.66</v>
      </c>
      <c r="Q264" s="1416">
        <f t="shared" si="174"/>
        <v>63.169999999999995</v>
      </c>
      <c r="R264" s="600">
        <f t="shared" si="168"/>
        <v>4.6978418336233689</v>
      </c>
    </row>
    <row r="265" spans="1:18">
      <c r="A265" s="442" t="s">
        <v>259</v>
      </c>
      <c r="B265" s="586">
        <f t="shared" ref="B265:Q265" si="175">B101</f>
        <v>2</v>
      </c>
      <c r="C265" s="1416">
        <f t="shared" si="175"/>
        <v>39.82</v>
      </c>
      <c r="D265" s="1416">
        <f t="shared" si="175"/>
        <v>0</v>
      </c>
      <c r="E265" s="1416">
        <f t="shared" si="175"/>
        <v>134.75</v>
      </c>
      <c r="F265" s="1416">
        <f t="shared" si="175"/>
        <v>0</v>
      </c>
      <c r="G265" s="1416">
        <f t="shared" si="175"/>
        <v>174.57</v>
      </c>
      <c r="H265" s="1416">
        <f t="shared" si="175"/>
        <v>0</v>
      </c>
      <c r="I265" s="600">
        <f t="shared" si="165"/>
        <v>0</v>
      </c>
      <c r="J265" s="1416">
        <f t="shared" si="175"/>
        <v>35.479999999999997</v>
      </c>
      <c r="K265" s="1416">
        <f t="shared" si="175"/>
        <v>0</v>
      </c>
      <c r="L265" s="600">
        <f t="shared" si="166"/>
        <v>0</v>
      </c>
      <c r="M265" s="1416">
        <f t="shared" si="175"/>
        <v>244.2</v>
      </c>
      <c r="N265" s="1416">
        <f t="shared" si="175"/>
        <v>0</v>
      </c>
      <c r="O265" s="600">
        <f t="shared" si="167"/>
        <v>0</v>
      </c>
      <c r="P265" s="1416">
        <f t="shared" si="175"/>
        <v>454.25</v>
      </c>
      <c r="Q265" s="1416">
        <f t="shared" si="175"/>
        <v>0</v>
      </c>
      <c r="R265" s="600">
        <f t="shared" si="168"/>
        <v>0</v>
      </c>
    </row>
    <row r="266" spans="1:18">
      <c r="A266" s="442" t="s">
        <v>522</v>
      </c>
      <c r="B266" s="586">
        <f t="shared" ref="B266:Q266" si="176">B112</f>
        <v>6</v>
      </c>
      <c r="C266" s="1416">
        <f t="shared" si="176"/>
        <v>135.86000000000001</v>
      </c>
      <c r="D266" s="1416">
        <f t="shared" si="176"/>
        <v>8.89</v>
      </c>
      <c r="E266" s="1416">
        <f t="shared" si="176"/>
        <v>250.03</v>
      </c>
      <c r="F266" s="1416">
        <f t="shared" si="176"/>
        <v>2.21</v>
      </c>
      <c r="G266" s="1416">
        <f t="shared" si="176"/>
        <v>385.89</v>
      </c>
      <c r="H266" s="1416">
        <f t="shared" si="176"/>
        <v>11.100000000000001</v>
      </c>
      <c r="I266" s="600">
        <f t="shared" si="165"/>
        <v>2.8764673870792201</v>
      </c>
      <c r="J266" s="1416">
        <f t="shared" si="176"/>
        <v>106.16</v>
      </c>
      <c r="K266" s="1416">
        <f t="shared" si="176"/>
        <v>5.56</v>
      </c>
      <c r="L266" s="600">
        <f t="shared" si="166"/>
        <v>5.2373775433308216</v>
      </c>
      <c r="M266" s="1416">
        <f t="shared" si="176"/>
        <v>922.91000000000008</v>
      </c>
      <c r="N266" s="1416">
        <f t="shared" si="176"/>
        <v>49.269999999999996</v>
      </c>
      <c r="O266" s="600">
        <f t="shared" si="167"/>
        <v>5.3385487208936944</v>
      </c>
      <c r="P266" s="1416">
        <f t="shared" si="176"/>
        <v>1414.96</v>
      </c>
      <c r="Q266" s="1416">
        <f t="shared" si="176"/>
        <v>65.929999999999993</v>
      </c>
      <c r="R266" s="600">
        <f t="shared" si="168"/>
        <v>4.659495674789393</v>
      </c>
    </row>
    <row r="267" spans="1:18">
      <c r="A267" s="442" t="s">
        <v>33</v>
      </c>
      <c r="B267" s="586">
        <f t="shared" ref="B267:Q267" si="177">B122</f>
        <v>6</v>
      </c>
      <c r="C267" s="1416">
        <f t="shared" si="177"/>
        <v>99.330000000000013</v>
      </c>
      <c r="D267" s="1416">
        <f t="shared" si="177"/>
        <v>17.54</v>
      </c>
      <c r="E267" s="1416">
        <f t="shared" si="177"/>
        <v>186.67000000000002</v>
      </c>
      <c r="F267" s="1416">
        <f t="shared" si="177"/>
        <v>4.42</v>
      </c>
      <c r="G267" s="1416">
        <f t="shared" si="177"/>
        <v>286</v>
      </c>
      <c r="H267" s="1416">
        <f t="shared" si="177"/>
        <v>21.96</v>
      </c>
      <c r="I267" s="600">
        <f t="shared" si="165"/>
        <v>7.6783216783216792</v>
      </c>
      <c r="J267" s="1416">
        <f t="shared" si="177"/>
        <v>67.27</v>
      </c>
      <c r="K267" s="1416">
        <f t="shared" si="177"/>
        <v>1.1000000000000001</v>
      </c>
      <c r="L267" s="600">
        <f t="shared" si="166"/>
        <v>1.635201427084882</v>
      </c>
      <c r="M267" s="1416">
        <f t="shared" si="177"/>
        <v>533.01</v>
      </c>
      <c r="N267" s="1416">
        <f t="shared" si="177"/>
        <v>33.28</v>
      </c>
      <c r="O267" s="600">
        <f t="shared" si="167"/>
        <v>6.2437852948349946</v>
      </c>
      <c r="P267" s="1416">
        <f t="shared" si="177"/>
        <v>886.28</v>
      </c>
      <c r="Q267" s="1416">
        <f t="shared" si="177"/>
        <v>56.34</v>
      </c>
      <c r="R267" s="600">
        <f t="shared" si="168"/>
        <v>6.3569075235817127</v>
      </c>
    </row>
    <row r="268" spans="1:18">
      <c r="A268" s="442" t="s">
        <v>34</v>
      </c>
      <c r="B268" s="586">
        <f t="shared" ref="B268:Q268" si="178">B137</f>
        <v>8</v>
      </c>
      <c r="C268" s="1416">
        <f t="shared" si="178"/>
        <v>223.64</v>
      </c>
      <c r="D268" s="1416">
        <f t="shared" si="178"/>
        <v>7</v>
      </c>
      <c r="E268" s="1416">
        <f t="shared" si="178"/>
        <v>420.2</v>
      </c>
      <c r="F268" s="1416">
        <f t="shared" si="178"/>
        <v>0</v>
      </c>
      <c r="G268" s="1416">
        <f t="shared" si="178"/>
        <v>643.84</v>
      </c>
      <c r="H268" s="1416">
        <f t="shared" si="178"/>
        <v>7</v>
      </c>
      <c r="I268" s="600">
        <f t="shared" si="165"/>
        <v>1.0872266401590456</v>
      </c>
      <c r="J268" s="1416">
        <f t="shared" si="178"/>
        <v>163.30000000000001</v>
      </c>
      <c r="K268" s="1416">
        <f t="shared" si="178"/>
        <v>23.4</v>
      </c>
      <c r="L268" s="600">
        <f t="shared" si="166"/>
        <v>14.329454990814451</v>
      </c>
      <c r="M268" s="1416">
        <f t="shared" si="178"/>
        <v>1621.41</v>
      </c>
      <c r="N268" s="1416">
        <f t="shared" si="178"/>
        <v>43.57</v>
      </c>
      <c r="O268" s="600">
        <f t="shared" si="167"/>
        <v>2.6871673420047979</v>
      </c>
      <c r="P268" s="1416">
        <f t="shared" si="178"/>
        <v>2428.5500000000002</v>
      </c>
      <c r="Q268" s="1416">
        <f t="shared" si="178"/>
        <v>73.97</v>
      </c>
      <c r="R268" s="600">
        <f t="shared" si="168"/>
        <v>3.0458504045623926</v>
      </c>
    </row>
    <row r="269" spans="1:18">
      <c r="A269" s="442" t="s">
        <v>37</v>
      </c>
      <c r="B269" s="586">
        <f t="shared" ref="B269:Q269" si="179">B145</f>
        <v>2</v>
      </c>
      <c r="C269" s="1416">
        <f t="shared" si="179"/>
        <v>71.06</v>
      </c>
      <c r="D269" s="1416">
        <f t="shared" si="179"/>
        <v>0</v>
      </c>
      <c r="E269" s="1416">
        <f t="shared" si="179"/>
        <v>83.49</v>
      </c>
      <c r="F269" s="1416">
        <f t="shared" si="179"/>
        <v>0</v>
      </c>
      <c r="G269" s="1416">
        <f t="shared" si="179"/>
        <v>154.55000000000001</v>
      </c>
      <c r="H269" s="1416">
        <f t="shared" si="179"/>
        <v>0</v>
      </c>
      <c r="I269" s="600">
        <f t="shared" si="165"/>
        <v>0</v>
      </c>
      <c r="J269" s="1416">
        <f t="shared" si="179"/>
        <v>58.85</v>
      </c>
      <c r="K269" s="1416">
        <f t="shared" si="179"/>
        <v>0</v>
      </c>
      <c r="L269" s="600">
        <f t="shared" si="166"/>
        <v>0</v>
      </c>
      <c r="M269" s="1416">
        <f t="shared" si="179"/>
        <v>374</v>
      </c>
      <c r="N269" s="1416">
        <f t="shared" si="179"/>
        <v>0</v>
      </c>
      <c r="O269" s="600">
        <f t="shared" si="167"/>
        <v>0</v>
      </c>
      <c r="P269" s="1416">
        <f t="shared" si="179"/>
        <v>587.4</v>
      </c>
      <c r="Q269" s="1416">
        <f t="shared" si="179"/>
        <v>0</v>
      </c>
      <c r="R269" s="600">
        <f t="shared" si="168"/>
        <v>0</v>
      </c>
    </row>
    <row r="270" spans="1:18">
      <c r="A270" s="442" t="s">
        <v>38</v>
      </c>
      <c r="B270" s="586">
        <f t="shared" ref="B270:Q270" si="180">B154</f>
        <v>9</v>
      </c>
      <c r="C270" s="1416">
        <f t="shared" si="180"/>
        <v>226.82</v>
      </c>
      <c r="D270" s="1416">
        <f t="shared" si="180"/>
        <v>4.67</v>
      </c>
      <c r="E270" s="1416">
        <f t="shared" si="180"/>
        <v>529.32000000000005</v>
      </c>
      <c r="F270" s="1416">
        <f t="shared" si="180"/>
        <v>0</v>
      </c>
      <c r="G270" s="1416">
        <f t="shared" si="180"/>
        <v>756.1400000000001</v>
      </c>
      <c r="H270" s="1416">
        <f t="shared" si="180"/>
        <v>4.67</v>
      </c>
      <c r="I270" s="600">
        <f t="shared" si="165"/>
        <v>0.61761049541090263</v>
      </c>
      <c r="J270" s="1416">
        <f t="shared" si="180"/>
        <v>194.43</v>
      </c>
      <c r="K270" s="1416">
        <f t="shared" si="180"/>
        <v>1.1000000000000001</v>
      </c>
      <c r="L270" s="600">
        <f t="shared" si="166"/>
        <v>0.56575631332613285</v>
      </c>
      <c r="M270" s="1416">
        <f t="shared" si="180"/>
        <v>1293.44</v>
      </c>
      <c r="N270" s="1416">
        <f t="shared" si="180"/>
        <v>0</v>
      </c>
      <c r="O270" s="600">
        <f t="shared" si="167"/>
        <v>0</v>
      </c>
      <c r="P270" s="1416">
        <f t="shared" si="180"/>
        <v>2244.0100000000002</v>
      </c>
      <c r="Q270" s="1416">
        <f t="shared" si="180"/>
        <v>5.77</v>
      </c>
      <c r="R270" s="600">
        <f t="shared" si="168"/>
        <v>0.25712897892611886</v>
      </c>
    </row>
    <row r="271" spans="1:18">
      <c r="A271" s="442" t="s">
        <v>40</v>
      </c>
      <c r="B271" s="586">
        <f t="shared" ref="B271:Q271" si="181">B163</f>
        <v>4</v>
      </c>
      <c r="C271" s="1416">
        <f t="shared" si="181"/>
        <v>79.75</v>
      </c>
      <c r="D271" s="1416">
        <f t="shared" si="181"/>
        <v>0.6</v>
      </c>
      <c r="E271" s="1416">
        <f t="shared" si="181"/>
        <v>269.39</v>
      </c>
      <c r="F271" s="1416">
        <f t="shared" si="181"/>
        <v>0</v>
      </c>
      <c r="G271" s="1416">
        <f t="shared" si="181"/>
        <v>349.14</v>
      </c>
      <c r="H271" s="1416">
        <f t="shared" si="181"/>
        <v>0.6</v>
      </c>
      <c r="I271" s="600">
        <f t="shared" si="165"/>
        <v>0.17185083347654234</v>
      </c>
      <c r="J271" s="1416">
        <f t="shared" si="181"/>
        <v>70.790000000000006</v>
      </c>
      <c r="K271" s="1416">
        <f t="shared" si="181"/>
        <v>0</v>
      </c>
      <c r="L271" s="600">
        <f t="shared" si="166"/>
        <v>0</v>
      </c>
      <c r="M271" s="1416">
        <f t="shared" si="181"/>
        <v>488.18</v>
      </c>
      <c r="N271" s="1416">
        <f t="shared" si="181"/>
        <v>0</v>
      </c>
      <c r="O271" s="600">
        <f t="shared" si="167"/>
        <v>0</v>
      </c>
      <c r="P271" s="1416">
        <f t="shared" si="181"/>
        <v>908.11</v>
      </c>
      <c r="Q271" s="1416">
        <f t="shared" si="181"/>
        <v>0.6</v>
      </c>
      <c r="R271" s="600">
        <f t="shared" si="168"/>
        <v>6.6071290922905812E-2</v>
      </c>
    </row>
    <row r="272" spans="1:18">
      <c r="A272" s="442" t="s">
        <v>39</v>
      </c>
      <c r="B272" s="586">
        <f t="shared" ref="B272:Q272" si="182">B172</f>
        <v>3</v>
      </c>
      <c r="C272" s="1416">
        <f t="shared" si="182"/>
        <v>106.7</v>
      </c>
      <c r="D272" s="1416">
        <f t="shared" si="182"/>
        <v>0</v>
      </c>
      <c r="E272" s="1416">
        <f t="shared" si="182"/>
        <v>125.29</v>
      </c>
      <c r="F272" s="1416">
        <f t="shared" si="182"/>
        <v>0</v>
      </c>
      <c r="G272" s="1416">
        <f t="shared" si="182"/>
        <v>231.99</v>
      </c>
      <c r="H272" s="1416">
        <f t="shared" si="182"/>
        <v>0</v>
      </c>
      <c r="I272" s="600">
        <f t="shared" si="165"/>
        <v>0</v>
      </c>
      <c r="J272" s="1416">
        <f t="shared" si="182"/>
        <v>88.22</v>
      </c>
      <c r="K272" s="1416">
        <f t="shared" si="182"/>
        <v>0</v>
      </c>
      <c r="L272" s="600">
        <f t="shared" si="166"/>
        <v>0</v>
      </c>
      <c r="M272" s="1416">
        <f t="shared" si="182"/>
        <v>561</v>
      </c>
      <c r="N272" s="1416">
        <f t="shared" si="182"/>
        <v>9.94</v>
      </c>
      <c r="O272" s="600">
        <f t="shared" si="167"/>
        <v>1.7718360071301247</v>
      </c>
      <c r="P272" s="1416">
        <f t="shared" si="182"/>
        <v>881.21</v>
      </c>
      <c r="Q272" s="1416">
        <f t="shared" si="182"/>
        <v>9.94</v>
      </c>
      <c r="R272" s="600">
        <f t="shared" si="168"/>
        <v>1.1279944621599844</v>
      </c>
    </row>
    <row r="273" spans="1:18">
      <c r="A273" s="442" t="s">
        <v>523</v>
      </c>
      <c r="B273" s="1410">
        <f>B204</f>
        <v>56</v>
      </c>
      <c r="C273" s="1416">
        <f t="shared" ref="C273:Q273" si="183">C204</f>
        <v>1882.01</v>
      </c>
      <c r="D273" s="1416">
        <f t="shared" si="183"/>
        <v>62.6</v>
      </c>
      <c r="E273" s="1416">
        <f t="shared" si="183"/>
        <v>2805.7799999999997</v>
      </c>
      <c r="F273" s="1416">
        <f t="shared" si="183"/>
        <v>196.50000000000003</v>
      </c>
      <c r="G273" s="1416">
        <f t="shared" si="183"/>
        <v>4687.79</v>
      </c>
      <c r="H273" s="1416">
        <f t="shared" si="183"/>
        <v>259.10000000000002</v>
      </c>
      <c r="I273" s="600">
        <f t="shared" si="165"/>
        <v>5.5271247218838733</v>
      </c>
      <c r="J273" s="1416">
        <f t="shared" si="183"/>
        <v>3394.48</v>
      </c>
      <c r="K273" s="1416">
        <f t="shared" si="183"/>
        <v>765.73</v>
      </c>
      <c r="L273" s="600">
        <f t="shared" si="166"/>
        <v>22.55809431783366</v>
      </c>
      <c r="M273" s="1416">
        <f t="shared" si="183"/>
        <v>13662.970000000001</v>
      </c>
      <c r="N273" s="1416">
        <f t="shared" si="183"/>
        <v>1355.18</v>
      </c>
      <c r="O273" s="600">
        <f t="shared" si="167"/>
        <v>9.9186340890743363</v>
      </c>
      <c r="P273" s="1416">
        <f t="shared" si="183"/>
        <v>21745.24</v>
      </c>
      <c r="Q273" s="1416">
        <f t="shared" si="183"/>
        <v>2380.0099999999998</v>
      </c>
      <c r="R273" s="600">
        <f t="shared" si="168"/>
        <v>10.944970025623997</v>
      </c>
    </row>
    <row r="274" spans="1:18">
      <c r="A274" s="442" t="s">
        <v>524</v>
      </c>
      <c r="B274" s="442">
        <f t="shared" ref="B274:Q274" si="184">B218</f>
        <v>4</v>
      </c>
      <c r="C274" s="600">
        <f t="shared" si="184"/>
        <v>125.62</v>
      </c>
      <c r="D274" s="600">
        <f t="shared" si="184"/>
        <v>5.34</v>
      </c>
      <c r="E274" s="600">
        <f t="shared" si="184"/>
        <v>229.79000000000002</v>
      </c>
      <c r="F274" s="600">
        <f t="shared" si="184"/>
        <v>0</v>
      </c>
      <c r="G274" s="600">
        <f t="shared" si="184"/>
        <v>355.41</v>
      </c>
      <c r="H274" s="600">
        <f t="shared" si="184"/>
        <v>5.34</v>
      </c>
      <c r="I274" s="600">
        <f t="shared" si="165"/>
        <v>1.5024900818772684</v>
      </c>
      <c r="J274" s="600">
        <f t="shared" si="184"/>
        <v>87.33</v>
      </c>
      <c r="K274" s="600">
        <f t="shared" si="184"/>
        <v>7.29</v>
      </c>
      <c r="L274" s="600">
        <f t="shared" si="166"/>
        <v>8.3476468567502575</v>
      </c>
      <c r="M274" s="600">
        <f t="shared" si="184"/>
        <v>485.15999999999997</v>
      </c>
      <c r="N274" s="600">
        <f t="shared" si="184"/>
        <v>0</v>
      </c>
      <c r="O274" s="600">
        <f t="shared" si="167"/>
        <v>0</v>
      </c>
      <c r="P274" s="600">
        <f t="shared" si="184"/>
        <v>927.9</v>
      </c>
      <c r="Q274" s="600">
        <f t="shared" si="184"/>
        <v>12.629999999999999</v>
      </c>
      <c r="R274" s="600">
        <f t="shared" si="168"/>
        <v>1.3611380536695763</v>
      </c>
    </row>
    <row r="275" spans="1:18">
      <c r="A275" s="442" t="s">
        <v>525</v>
      </c>
      <c r="B275" s="442">
        <f t="shared" ref="B275:Q275" si="185">B231</f>
        <v>13</v>
      </c>
      <c r="C275" s="600">
        <f t="shared" si="185"/>
        <v>401.17</v>
      </c>
      <c r="D275" s="600">
        <f t="shared" si="185"/>
        <v>3.6599999999999997</v>
      </c>
      <c r="E275" s="600">
        <f t="shared" si="185"/>
        <v>454.68999999999994</v>
      </c>
      <c r="F275" s="600">
        <f t="shared" si="185"/>
        <v>0</v>
      </c>
      <c r="G275" s="600">
        <f t="shared" si="185"/>
        <v>855.8599999999999</v>
      </c>
      <c r="H275" s="600">
        <f t="shared" si="185"/>
        <v>3.6599999999999997</v>
      </c>
      <c r="I275" s="600">
        <f t="shared" si="165"/>
        <v>0.42764003458509575</v>
      </c>
      <c r="J275" s="600">
        <f t="shared" si="185"/>
        <v>338.90999999999997</v>
      </c>
      <c r="K275" s="600">
        <f t="shared" si="185"/>
        <v>0</v>
      </c>
      <c r="L275" s="600">
        <f t="shared" si="166"/>
        <v>0</v>
      </c>
      <c r="M275" s="600">
        <f t="shared" si="185"/>
        <v>1874.8999999999999</v>
      </c>
      <c r="N275" s="600">
        <f t="shared" si="185"/>
        <v>74.78</v>
      </c>
      <c r="O275" s="600">
        <f t="shared" si="167"/>
        <v>3.9884793855672305</v>
      </c>
      <c r="P275" s="600">
        <f t="shared" si="185"/>
        <v>3069.67</v>
      </c>
      <c r="Q275" s="600">
        <f t="shared" si="185"/>
        <v>78.44</v>
      </c>
      <c r="R275" s="600">
        <f t="shared" si="168"/>
        <v>2.5553235364061933</v>
      </c>
    </row>
    <row r="276" spans="1:18">
      <c r="A276" s="442" t="s">
        <v>41</v>
      </c>
      <c r="B276" s="442">
        <f t="shared" ref="B276:Q276" si="186">B244</f>
        <v>9</v>
      </c>
      <c r="C276" s="600">
        <f t="shared" si="186"/>
        <v>227.06</v>
      </c>
      <c r="D276" s="600">
        <f t="shared" si="186"/>
        <v>0</v>
      </c>
      <c r="E276" s="600">
        <f t="shared" si="186"/>
        <v>374.55</v>
      </c>
      <c r="F276" s="600">
        <f t="shared" si="186"/>
        <v>0</v>
      </c>
      <c r="G276" s="600">
        <f t="shared" si="186"/>
        <v>601.61</v>
      </c>
      <c r="H276" s="600">
        <f t="shared" si="186"/>
        <v>0</v>
      </c>
      <c r="I276" s="600">
        <f t="shared" si="165"/>
        <v>0</v>
      </c>
      <c r="J276" s="600">
        <f t="shared" si="186"/>
        <v>269.29000000000002</v>
      </c>
      <c r="K276" s="600">
        <f t="shared" si="186"/>
        <v>0</v>
      </c>
      <c r="L276" s="600">
        <f t="shared" si="166"/>
        <v>0</v>
      </c>
      <c r="M276" s="600">
        <f t="shared" si="186"/>
        <v>1135.81</v>
      </c>
      <c r="N276" s="600">
        <f t="shared" si="186"/>
        <v>78.429999999999993</v>
      </c>
      <c r="O276" s="600">
        <f t="shared" si="167"/>
        <v>6.9052042154937876</v>
      </c>
      <c r="P276" s="600">
        <f t="shared" si="186"/>
        <v>870.90000000000009</v>
      </c>
      <c r="Q276" s="600">
        <f t="shared" si="186"/>
        <v>78.429999999999993</v>
      </c>
      <c r="R276" s="600">
        <f t="shared" si="168"/>
        <v>9.0056263635319755</v>
      </c>
    </row>
    <row r="277" spans="1:18">
      <c r="A277" s="587" t="s">
        <v>526</v>
      </c>
      <c r="B277" s="637">
        <f t="shared" ref="B277:N277" si="187">SUM(B257:B276)</f>
        <v>189</v>
      </c>
      <c r="C277" s="600">
        <f>SUM(C257:C276)</f>
        <v>5400.26</v>
      </c>
      <c r="D277" s="600">
        <f t="shared" si="187"/>
        <v>233.65999999999997</v>
      </c>
      <c r="E277" s="600">
        <f t="shared" si="187"/>
        <v>8631</v>
      </c>
      <c r="F277" s="600">
        <f t="shared" si="187"/>
        <v>252.25000000000003</v>
      </c>
      <c r="G277" s="600">
        <f t="shared" si="187"/>
        <v>14031.260000000002</v>
      </c>
      <c r="H277" s="600">
        <f>D277+F277</f>
        <v>485.90999999999997</v>
      </c>
      <c r="I277" s="600">
        <f t="shared" si="165"/>
        <v>3.4630532111870198</v>
      </c>
      <c r="J277" s="600">
        <f t="shared" si="187"/>
        <v>6665.9099999999989</v>
      </c>
      <c r="K277" s="600">
        <f t="shared" si="187"/>
        <v>830.56999999999994</v>
      </c>
      <c r="L277" s="600">
        <f t="shared" si="166"/>
        <v>12.459964205937373</v>
      </c>
      <c r="M277" s="600">
        <f t="shared" si="187"/>
        <v>32229.080000000005</v>
      </c>
      <c r="N277" s="600">
        <f t="shared" si="187"/>
        <v>2114.96</v>
      </c>
      <c r="O277" s="600">
        <f t="shared" si="167"/>
        <v>6.5622723329365895</v>
      </c>
      <c r="P277" s="600">
        <f>M277+J277+G277</f>
        <v>52926.250000000007</v>
      </c>
      <c r="Q277" s="600">
        <f>N277+K277+H277</f>
        <v>3431.4399999999996</v>
      </c>
      <c r="R277" s="600">
        <f t="shared" si="168"/>
        <v>6.4834368578918768</v>
      </c>
    </row>
    <row r="278" spans="1:18">
      <c r="A278" s="445"/>
      <c r="B278" s="445"/>
      <c r="C278" s="605"/>
      <c r="D278" s="446"/>
      <c r="E278" s="446"/>
      <c r="F278" s="446"/>
      <c r="G278" s="446"/>
      <c r="H278" s="446"/>
      <c r="I278" s="445"/>
      <c r="J278" s="446"/>
      <c r="K278" s="446"/>
      <c r="L278" s="445"/>
      <c r="M278" s="446"/>
      <c r="N278" s="446"/>
      <c r="O278" s="445"/>
      <c r="P278" s="446"/>
      <c r="Q278" s="446"/>
      <c r="R278" s="445"/>
    </row>
    <row r="279" spans="1:18">
      <c r="A279" s="445"/>
      <c r="B279" s="445"/>
      <c r="C279" s="605"/>
      <c r="D279" s="446"/>
      <c r="E279" s="446"/>
      <c r="F279" s="446"/>
      <c r="G279" s="446"/>
      <c r="H279" s="446"/>
      <c r="I279" s="445"/>
      <c r="J279" s="446"/>
      <c r="K279" s="446"/>
      <c r="L279" s="445"/>
      <c r="M279" s="446"/>
      <c r="N279" s="446"/>
      <c r="O279" s="445"/>
      <c r="P279" s="446"/>
      <c r="Q279" s="446"/>
      <c r="R279" s="445"/>
    </row>
    <row r="280" spans="1:18">
      <c r="A280" s="445"/>
      <c r="B280" s="445"/>
      <c r="C280" s="605"/>
      <c r="D280" s="446"/>
      <c r="E280" s="446"/>
      <c r="F280" s="446"/>
      <c r="G280" s="446"/>
      <c r="H280" s="446"/>
      <c r="I280" s="445"/>
      <c r="J280" s="446"/>
      <c r="K280" s="446"/>
      <c r="L280" s="445"/>
      <c r="M280" s="446"/>
      <c r="N280" s="446"/>
      <c r="O280" s="445"/>
      <c r="P280" s="446"/>
      <c r="Q280" s="446"/>
      <c r="R280" s="445"/>
    </row>
    <row r="281" spans="1:18">
      <c r="A281" s="445"/>
      <c r="B281" s="445"/>
      <c r="C281" s="605"/>
      <c r="D281" s="446"/>
      <c r="E281" s="446"/>
      <c r="F281" s="446"/>
      <c r="G281" s="446"/>
      <c r="H281" s="446"/>
      <c r="I281" s="445"/>
      <c r="J281" s="446"/>
      <c r="K281" s="446"/>
      <c r="L281" s="445"/>
      <c r="M281" s="446"/>
      <c r="N281" s="446"/>
      <c r="O281" s="445"/>
      <c r="P281" s="446"/>
      <c r="Q281" s="446"/>
      <c r="R281" s="445"/>
    </row>
    <row r="282" spans="1:18">
      <c r="A282" s="445"/>
      <c r="B282" s="445"/>
      <c r="C282" s="605"/>
      <c r="D282" s="446"/>
      <c r="E282" s="446"/>
      <c r="F282" s="446"/>
      <c r="G282" s="446"/>
      <c r="H282" s="446"/>
      <c r="I282" s="445"/>
      <c r="J282" s="446"/>
      <c r="K282" s="446"/>
      <c r="L282" s="445"/>
      <c r="M282" s="446"/>
      <c r="N282" s="446"/>
      <c r="O282" s="445"/>
      <c r="P282" s="446"/>
      <c r="Q282" s="446"/>
      <c r="R282" s="445"/>
    </row>
    <row r="283" spans="1:18">
      <c r="A283" s="445"/>
      <c r="B283" s="445"/>
      <c r="C283" s="605"/>
      <c r="D283" s="446"/>
      <c r="E283" s="446"/>
      <c r="F283" s="446"/>
      <c r="G283" s="446"/>
      <c r="H283" s="446"/>
      <c r="I283" s="445"/>
      <c r="J283" s="446"/>
      <c r="K283" s="446"/>
      <c r="L283" s="445"/>
      <c r="M283" s="446"/>
      <c r="N283" s="446"/>
      <c r="O283" s="445"/>
      <c r="P283" s="446"/>
      <c r="Q283" s="446"/>
      <c r="R283" s="445"/>
    </row>
    <row r="284" spans="1:18">
      <c r="A284" s="445"/>
      <c r="B284" s="445"/>
      <c r="C284" s="605"/>
      <c r="D284" s="446"/>
      <c r="E284" s="446"/>
      <c r="F284" s="446"/>
      <c r="G284" s="446"/>
      <c r="H284" s="446"/>
      <c r="I284" s="445"/>
      <c r="J284" s="446"/>
      <c r="K284" s="446"/>
      <c r="L284" s="445"/>
      <c r="M284" s="446"/>
      <c r="N284" s="446"/>
      <c r="O284" s="445"/>
      <c r="P284" s="446"/>
      <c r="Q284" s="446"/>
      <c r="R284" s="445"/>
    </row>
    <row r="285" spans="1:18">
      <c r="A285" s="445"/>
      <c r="B285" s="445"/>
      <c r="C285" s="605"/>
      <c r="D285" s="446"/>
      <c r="E285" s="446"/>
      <c r="F285" s="446"/>
      <c r="G285" s="446"/>
      <c r="H285" s="446"/>
      <c r="I285" s="445"/>
      <c r="J285" s="446"/>
      <c r="K285" s="446"/>
      <c r="L285" s="445"/>
      <c r="M285" s="446"/>
      <c r="N285" s="446"/>
      <c r="O285" s="445"/>
      <c r="P285" s="446"/>
      <c r="Q285" s="446"/>
      <c r="R285" s="445"/>
    </row>
    <row r="286" spans="1:18">
      <c r="A286" s="445"/>
      <c r="B286" s="445"/>
      <c r="C286" s="605"/>
      <c r="D286" s="446"/>
      <c r="E286" s="446"/>
      <c r="F286" s="446"/>
      <c r="G286" s="446"/>
      <c r="H286" s="446"/>
      <c r="I286" s="445"/>
      <c r="J286" s="446"/>
      <c r="K286" s="446"/>
      <c r="L286" s="445"/>
      <c r="M286" s="446"/>
      <c r="N286" s="446"/>
      <c r="O286" s="445"/>
      <c r="P286" s="446"/>
      <c r="Q286" s="446"/>
      <c r="R286" s="445"/>
    </row>
    <row r="287" spans="1:18" s="741" customFormat="1">
      <c r="A287" s="445"/>
      <c r="B287" s="445"/>
      <c r="C287" s="605"/>
      <c r="D287" s="446"/>
      <c r="E287" s="446"/>
      <c r="F287" s="446"/>
      <c r="G287" s="446"/>
      <c r="H287" s="446"/>
      <c r="I287" s="445"/>
      <c r="J287" s="446"/>
      <c r="K287" s="446"/>
      <c r="L287" s="445"/>
      <c r="M287" s="446"/>
      <c r="N287" s="446"/>
      <c r="O287" s="445"/>
      <c r="P287" s="446"/>
      <c r="Q287" s="446"/>
      <c r="R287" s="445"/>
    </row>
    <row r="288" spans="1:18" s="741" customFormat="1">
      <c r="A288" s="445"/>
      <c r="B288" s="445"/>
      <c r="C288" s="605"/>
      <c r="D288" s="446"/>
      <c r="E288" s="446"/>
      <c r="F288" s="446"/>
      <c r="G288" s="446"/>
      <c r="H288" s="446"/>
      <c r="I288" s="445"/>
      <c r="J288" s="446"/>
      <c r="K288" s="446"/>
      <c r="L288" s="445"/>
      <c r="M288" s="446"/>
      <c r="N288" s="446"/>
      <c r="O288" s="445"/>
      <c r="P288" s="446"/>
      <c r="Q288" s="446"/>
      <c r="R288" s="445"/>
    </row>
    <row r="289" spans="1:18" s="741" customFormat="1">
      <c r="A289" s="445"/>
      <c r="B289" s="445"/>
      <c r="C289" s="605"/>
      <c r="D289" s="446"/>
      <c r="E289" s="446"/>
      <c r="F289" s="446"/>
      <c r="G289" s="446"/>
      <c r="H289" s="446"/>
      <c r="I289" s="445"/>
      <c r="J289" s="446"/>
      <c r="K289" s="446"/>
      <c r="L289" s="445"/>
      <c r="M289" s="446"/>
      <c r="N289" s="446"/>
      <c r="O289" s="445"/>
      <c r="P289" s="446"/>
      <c r="Q289" s="446"/>
      <c r="R289" s="445"/>
    </row>
    <row r="290" spans="1:18">
      <c r="A290" s="445"/>
      <c r="B290" s="445"/>
      <c r="C290" s="605"/>
      <c r="D290" s="446"/>
      <c r="E290" s="446"/>
      <c r="F290" s="446"/>
      <c r="G290" s="446"/>
      <c r="H290" s="446"/>
      <c r="I290" s="445"/>
      <c r="J290" s="446"/>
      <c r="K290" s="446"/>
      <c r="L290" s="445"/>
      <c r="M290" s="446"/>
      <c r="N290" s="446"/>
      <c r="O290" s="445"/>
      <c r="P290" s="446"/>
      <c r="Q290" s="446"/>
      <c r="R290" s="445"/>
    </row>
    <row r="291" spans="1:18">
      <c r="A291" s="445"/>
      <c r="B291" s="445"/>
      <c r="C291" s="605"/>
      <c r="D291" s="446"/>
      <c r="E291" s="446"/>
      <c r="F291" s="446"/>
      <c r="G291" s="446"/>
      <c r="H291" s="446"/>
      <c r="I291" s="445"/>
      <c r="J291" s="446"/>
      <c r="K291" s="446"/>
      <c r="L291" s="445"/>
      <c r="M291" s="446"/>
      <c r="N291" s="446"/>
      <c r="O291" s="445"/>
      <c r="P291" s="446"/>
      <c r="Q291" s="446"/>
      <c r="R291" s="445"/>
    </row>
    <row r="292" spans="1:18">
      <c r="A292" s="588"/>
      <c r="B292" s="568"/>
      <c r="C292" s="611"/>
      <c r="D292" s="569"/>
      <c r="E292" s="569"/>
      <c r="F292" s="569"/>
      <c r="G292" s="570"/>
      <c r="H292" s="570"/>
      <c r="I292" s="612"/>
      <c r="J292" s="570"/>
      <c r="K292" s="570"/>
      <c r="L292" s="612"/>
      <c r="M292" s="570"/>
      <c r="N292" s="570"/>
      <c r="O292" s="612"/>
      <c r="P292" s="570"/>
      <c r="Q292" s="570"/>
      <c r="R292" s="612"/>
    </row>
    <row r="293" spans="1:18" ht="15.75">
      <c r="A293" s="1617">
        <v>91</v>
      </c>
      <c r="B293" s="1617"/>
      <c r="C293" s="1617"/>
      <c r="D293" s="1617"/>
      <c r="E293" s="1617"/>
      <c r="F293" s="1617"/>
      <c r="G293" s="1617"/>
      <c r="H293" s="1617"/>
      <c r="I293" s="1617"/>
      <c r="J293" s="1617"/>
      <c r="K293" s="1617"/>
      <c r="L293" s="1617"/>
      <c r="M293" s="1617"/>
      <c r="N293" s="1617"/>
      <c r="O293" s="1617"/>
      <c r="P293" s="1617"/>
      <c r="Q293" s="1617"/>
      <c r="R293" s="1617"/>
    </row>
    <row r="294" spans="1:18">
      <c r="A294" s="445"/>
      <c r="B294" s="445"/>
      <c r="C294" s="581"/>
      <c r="D294" s="1618" t="s">
        <v>561</v>
      </c>
      <c r="E294" s="1618"/>
      <c r="F294" s="1618"/>
      <c r="G294" s="1618"/>
      <c r="H294" s="1618"/>
      <c r="I294" s="1618"/>
      <c r="J294" s="1618"/>
      <c r="K294" s="1618"/>
      <c r="L294" s="1618"/>
      <c r="M294" s="1618"/>
      <c r="N294" s="1618"/>
      <c r="O294" s="638"/>
      <c r="P294" s="446"/>
      <c r="Q294" s="446"/>
      <c r="R294" s="445"/>
    </row>
    <row r="295" spans="1:18">
      <c r="A295" s="445"/>
      <c r="B295" s="445"/>
      <c r="C295" s="605"/>
      <c r="D295" s="446"/>
      <c r="E295" s="446"/>
      <c r="F295" s="440"/>
      <c r="G295" s="440"/>
      <c r="H295" s="440"/>
      <c r="I295" s="439"/>
      <c r="J295" s="440"/>
      <c r="K295" s="440"/>
      <c r="L295" s="439"/>
      <c r="M295" s="447"/>
      <c r="N295" s="639"/>
      <c r="O295" s="638"/>
      <c r="P295" s="446"/>
      <c r="Q295" s="1619" t="s">
        <v>315</v>
      </c>
      <c r="R295" s="1620"/>
    </row>
    <row r="296" spans="1:18">
      <c r="A296" s="1621" t="s">
        <v>343</v>
      </c>
      <c r="B296" s="1622" t="s">
        <v>497</v>
      </c>
      <c r="C296" s="1616" t="s">
        <v>484</v>
      </c>
      <c r="D296" s="1616"/>
      <c r="E296" s="1616" t="s">
        <v>485</v>
      </c>
      <c r="F296" s="1616"/>
      <c r="G296" s="1623" t="s">
        <v>486</v>
      </c>
      <c r="H296" s="1623"/>
      <c r="I296" s="1623"/>
      <c r="J296" s="1623" t="s">
        <v>487</v>
      </c>
      <c r="K296" s="1623"/>
      <c r="L296" s="1623"/>
      <c r="M296" s="1623" t="s">
        <v>488</v>
      </c>
      <c r="N296" s="1623"/>
      <c r="O296" s="1623"/>
      <c r="P296" s="1616" t="s">
        <v>489</v>
      </c>
      <c r="Q296" s="1616"/>
      <c r="R296" s="1616"/>
    </row>
    <row r="297" spans="1:18">
      <c r="A297" s="1621"/>
      <c r="B297" s="1622"/>
      <c r="C297" s="640" t="s">
        <v>530</v>
      </c>
      <c r="D297" s="641" t="s">
        <v>531</v>
      </c>
      <c r="E297" s="641" t="s">
        <v>490</v>
      </c>
      <c r="F297" s="641" t="s">
        <v>531</v>
      </c>
      <c r="G297" s="641" t="s">
        <v>490</v>
      </c>
      <c r="H297" s="641" t="s">
        <v>531</v>
      </c>
      <c r="I297" s="642" t="s">
        <v>532</v>
      </c>
      <c r="J297" s="641" t="s">
        <v>490</v>
      </c>
      <c r="K297" s="641" t="s">
        <v>531</v>
      </c>
      <c r="L297" s="642" t="s">
        <v>532</v>
      </c>
      <c r="M297" s="641" t="s">
        <v>490</v>
      </c>
      <c r="N297" s="641" t="s">
        <v>531</v>
      </c>
      <c r="O297" s="642" t="s">
        <v>532</v>
      </c>
      <c r="P297" s="641" t="s">
        <v>490</v>
      </c>
      <c r="Q297" s="641" t="s">
        <v>531</v>
      </c>
      <c r="R297" s="642" t="s">
        <v>532</v>
      </c>
    </row>
    <row r="298" spans="1:18">
      <c r="A298" s="560" t="s">
        <v>10</v>
      </c>
      <c r="B298" s="1414">
        <f t="shared" ref="B298:H298" si="188">B237+B224+B214+B177+B171+B160+B151+B143+B131+B117+B106+B98+B89+B77+B65+B48+B33+B26+B18+B7</f>
        <v>59</v>
      </c>
      <c r="C298" s="599">
        <f t="shared" si="188"/>
        <v>2041.0299999999997</v>
      </c>
      <c r="D298" s="599">
        <f t="shared" si="188"/>
        <v>53.19</v>
      </c>
      <c r="E298" s="599">
        <f t="shared" si="188"/>
        <v>2580.92</v>
      </c>
      <c r="F298" s="599">
        <f t="shared" si="188"/>
        <v>0</v>
      </c>
      <c r="G298" s="599">
        <f t="shared" si="188"/>
        <v>4621.9500000000016</v>
      </c>
      <c r="H298" s="599">
        <f t="shared" si="188"/>
        <v>53.19</v>
      </c>
      <c r="I298" s="599">
        <f t="shared" ref="I298:I324" si="189">H298/G298*100</f>
        <v>1.1508129685522339</v>
      </c>
      <c r="J298" s="599">
        <f>J237+J224+J214+J177+J171+J160+J151+J143+J131+J117+J106+J98+J89+J77+J65+J48+J33+J26+J18+J7</f>
        <v>1677.25</v>
      </c>
      <c r="K298" s="599">
        <f>K237+K224+K214+K177+K171+K160+K151+K143+K131+K117+K106+K98+K89+K77+K65+K48+K33+K26+K18+K7</f>
        <v>60.230000000000004</v>
      </c>
      <c r="L298" s="599">
        <f t="shared" ref="L298:L324" si="190">K298/J298*100</f>
        <v>3.5909971679833061</v>
      </c>
      <c r="M298" s="599">
        <f>M237+M224+M214+M177+M171+M160+M151+M143+M131+M117+M106+M98+M89+M77+M65+M48+M33+M26+M18+M7</f>
        <v>10989.609999999999</v>
      </c>
      <c r="N298" s="599">
        <f>N237+N224+N214+N177+N171+N160+N151+N143+N131+N117+N106+N98+N89+N77+N65+N48+N33+N26+N18+N7</f>
        <v>635.17999999999984</v>
      </c>
      <c r="O298" s="599">
        <f t="shared" ref="O298:O324" si="191">N298/M298*100</f>
        <v>5.7798229418514389</v>
      </c>
      <c r="P298" s="599">
        <f>P237+P224+P214+P177+P171+P160+P151+P143+P131+P117+P106+P98+P89+P77+P65+P48+P33+P26+P18+P7</f>
        <v>16730.009999999998</v>
      </c>
      <c r="Q298" s="599">
        <f>Q237+Q224+Q214+Q177+Q171+Q160+Q151+Q143+Q131+Q117+Q106+Q98+Q89+Q77+Q65+Q48+Q33+Q26+Q18+Q7</f>
        <v>748.6</v>
      </c>
      <c r="R298" s="599">
        <f t="shared" ref="R298:R324" si="192">Q298/P298%</f>
        <v>4.4745938585810769</v>
      </c>
    </row>
    <row r="299" spans="1:18">
      <c r="A299" s="571" t="s">
        <v>491</v>
      </c>
      <c r="B299" s="1414">
        <f>B179</f>
        <v>2</v>
      </c>
      <c r="C299" s="599">
        <f>C179</f>
        <v>163.13</v>
      </c>
      <c r="D299" s="599">
        <f t="shared" ref="D299:Q299" si="193">D179</f>
        <v>18.5</v>
      </c>
      <c r="E299" s="599">
        <f t="shared" si="193"/>
        <v>550.77</v>
      </c>
      <c r="F299" s="599">
        <f t="shared" si="193"/>
        <v>37.46</v>
      </c>
      <c r="G299" s="599">
        <f t="shared" si="193"/>
        <v>713.9</v>
      </c>
      <c r="H299" s="599">
        <f t="shared" si="193"/>
        <v>55.96</v>
      </c>
      <c r="I299" s="599">
        <f t="shared" si="189"/>
        <v>7.8386328617453422</v>
      </c>
      <c r="J299" s="599">
        <f t="shared" si="193"/>
        <v>622.6</v>
      </c>
      <c r="K299" s="599">
        <f t="shared" si="193"/>
        <v>25</v>
      </c>
      <c r="L299" s="599">
        <f t="shared" si="190"/>
        <v>4.0154192097654997</v>
      </c>
      <c r="M299" s="599">
        <f t="shared" si="193"/>
        <v>1752.3</v>
      </c>
      <c r="N299" s="599">
        <f t="shared" si="193"/>
        <v>55</v>
      </c>
      <c r="O299" s="599">
        <f t="shared" si="191"/>
        <v>3.1387319522912747</v>
      </c>
      <c r="P299" s="599">
        <f t="shared" si="193"/>
        <v>3088.8</v>
      </c>
      <c r="Q299" s="599">
        <f t="shared" si="193"/>
        <v>135.96</v>
      </c>
      <c r="R299" s="599">
        <f t="shared" si="192"/>
        <v>4.4017094017094021</v>
      </c>
    </row>
    <row r="300" spans="1:18">
      <c r="A300" s="572" t="s">
        <v>23</v>
      </c>
      <c r="B300" s="1412">
        <f>B54+B66+B182</f>
        <v>5</v>
      </c>
      <c r="C300" s="443">
        <f t="shared" ref="C300:H300" si="194">C182+C66+C54</f>
        <v>277.49</v>
      </c>
      <c r="D300" s="443">
        <f t="shared" si="194"/>
        <v>0</v>
      </c>
      <c r="E300" s="443">
        <f t="shared" si="194"/>
        <v>953.44</v>
      </c>
      <c r="F300" s="443">
        <f t="shared" si="194"/>
        <v>74</v>
      </c>
      <c r="G300" s="443">
        <f t="shared" si="194"/>
        <v>1230.93</v>
      </c>
      <c r="H300" s="443">
        <f t="shared" si="194"/>
        <v>74</v>
      </c>
      <c r="I300" s="599">
        <f t="shared" si="189"/>
        <v>6.01171471976473</v>
      </c>
      <c r="J300" s="443">
        <f>J182+J66+J54</f>
        <v>1082.74</v>
      </c>
      <c r="K300" s="443">
        <f>K182+K66+K54</f>
        <v>0</v>
      </c>
      <c r="L300" s="599">
        <f t="shared" si="190"/>
        <v>0</v>
      </c>
      <c r="M300" s="443">
        <f>M182+M66+M54</f>
        <v>2883.88</v>
      </c>
      <c r="N300" s="443">
        <f>N182+N66+N54</f>
        <v>14.59</v>
      </c>
      <c r="O300" s="599">
        <f t="shared" si="191"/>
        <v>0.50591564142752121</v>
      </c>
      <c r="P300" s="443">
        <f>P182+P66+P54</f>
        <v>5197.5499999999993</v>
      </c>
      <c r="Q300" s="443">
        <f>Q182+Q66+Q54</f>
        <v>88.59</v>
      </c>
      <c r="R300" s="599">
        <f t="shared" si="192"/>
        <v>1.7044569075814571</v>
      </c>
    </row>
    <row r="301" spans="1:18">
      <c r="A301" s="442" t="s">
        <v>17</v>
      </c>
      <c r="B301" s="1412">
        <f t="shared" ref="B301:H301" si="195">B240+B225+B215+B178+B118+B49+B34+B8</f>
        <v>8</v>
      </c>
      <c r="C301" s="443">
        <f t="shared" si="195"/>
        <v>352.35</v>
      </c>
      <c r="D301" s="443">
        <f t="shared" si="195"/>
        <v>17.170000000000002</v>
      </c>
      <c r="E301" s="443">
        <f t="shared" si="195"/>
        <v>372.96000000000004</v>
      </c>
      <c r="F301" s="443">
        <f t="shared" si="195"/>
        <v>0</v>
      </c>
      <c r="G301" s="443">
        <f t="shared" si="195"/>
        <v>725.31000000000006</v>
      </c>
      <c r="H301" s="443">
        <f t="shared" si="195"/>
        <v>17.170000000000002</v>
      </c>
      <c r="I301" s="599">
        <f t="shared" si="189"/>
        <v>2.367263652782948</v>
      </c>
      <c r="J301" s="443">
        <f>J240+J225+J215+J178+J118+J49+J34+J8</f>
        <v>157.28</v>
      </c>
      <c r="K301" s="443">
        <f>K240+K225+K215+K178+K118+K49+K34+K8</f>
        <v>0</v>
      </c>
      <c r="L301" s="599">
        <f t="shared" si="190"/>
        <v>0</v>
      </c>
      <c r="M301" s="443">
        <f>M240+M225+M215+M178+M118+M49+M34+M8</f>
        <v>543.43000000000006</v>
      </c>
      <c r="N301" s="443">
        <f>N240+N225+N215+N178+N118+N49+N34+N8</f>
        <v>77.55</v>
      </c>
      <c r="O301" s="599">
        <f t="shared" si="191"/>
        <v>14.27046721748891</v>
      </c>
      <c r="P301" s="443">
        <f>P240+P225+P215+P178+P118+P49+P34+P8</f>
        <v>1769.33</v>
      </c>
      <c r="Q301" s="443">
        <f>Q240+Q225+Q215+Q178+Q118+Q49+Q34+Q8</f>
        <v>94.72</v>
      </c>
      <c r="R301" s="599">
        <f t="shared" si="192"/>
        <v>5.3534388723415072</v>
      </c>
    </row>
    <row r="302" spans="1:18">
      <c r="A302" s="442" t="s">
        <v>35</v>
      </c>
      <c r="B302" s="1412">
        <f t="shared" ref="B302:H302" si="196">B180+B132</f>
        <v>4</v>
      </c>
      <c r="C302" s="443">
        <f t="shared" si="196"/>
        <v>170.84</v>
      </c>
      <c r="D302" s="443">
        <f t="shared" si="196"/>
        <v>7.5</v>
      </c>
      <c r="E302" s="443">
        <f t="shared" si="196"/>
        <v>277.42</v>
      </c>
      <c r="F302" s="443">
        <f t="shared" si="196"/>
        <v>0.25</v>
      </c>
      <c r="G302" s="443">
        <f t="shared" si="196"/>
        <v>448.26</v>
      </c>
      <c r="H302" s="443">
        <f t="shared" si="196"/>
        <v>7.75</v>
      </c>
      <c r="I302" s="599">
        <f t="shared" si="189"/>
        <v>1.7289073305670817</v>
      </c>
      <c r="J302" s="443">
        <f>J180+J132</f>
        <v>163.02000000000001</v>
      </c>
      <c r="K302" s="443">
        <f>K180+K132</f>
        <v>33.4</v>
      </c>
      <c r="L302" s="599">
        <f t="shared" si="190"/>
        <v>20.488283646178381</v>
      </c>
      <c r="M302" s="443">
        <f>M180+M132</f>
        <v>1346.52</v>
      </c>
      <c r="N302" s="443">
        <f>N180+N132</f>
        <v>96</v>
      </c>
      <c r="O302" s="599">
        <f t="shared" si="191"/>
        <v>7.129489350325283</v>
      </c>
      <c r="P302" s="443">
        <f>P180+P132</f>
        <v>1957.8</v>
      </c>
      <c r="Q302" s="443">
        <f>Q180+Q132</f>
        <v>137.15</v>
      </c>
      <c r="R302" s="599">
        <f t="shared" si="192"/>
        <v>7.0053120849933608</v>
      </c>
    </row>
    <row r="303" spans="1:18">
      <c r="A303" s="442" t="s">
        <v>492</v>
      </c>
      <c r="B303" s="1412">
        <f>B181</f>
        <v>1</v>
      </c>
      <c r="C303" s="443">
        <f>C181</f>
        <v>33</v>
      </c>
      <c r="D303" s="443">
        <f t="shared" ref="D303:Q303" si="197">D181</f>
        <v>0</v>
      </c>
      <c r="E303" s="443">
        <f t="shared" si="197"/>
        <v>8.8000000000000007</v>
      </c>
      <c r="F303" s="443">
        <f t="shared" si="197"/>
        <v>4</v>
      </c>
      <c r="G303" s="443">
        <f t="shared" si="197"/>
        <v>41.8</v>
      </c>
      <c r="H303" s="443">
        <f t="shared" si="197"/>
        <v>4</v>
      </c>
      <c r="I303" s="599">
        <f t="shared" si="189"/>
        <v>9.5693779904306222</v>
      </c>
      <c r="J303" s="443">
        <f t="shared" si="197"/>
        <v>62.48</v>
      </c>
      <c r="K303" s="443">
        <f t="shared" si="197"/>
        <v>20</v>
      </c>
      <c r="L303" s="599">
        <f t="shared" si="190"/>
        <v>32.010243277848915</v>
      </c>
      <c r="M303" s="443">
        <f t="shared" si="197"/>
        <v>194.04</v>
      </c>
      <c r="N303" s="443">
        <f t="shared" si="197"/>
        <v>16</v>
      </c>
      <c r="O303" s="599">
        <f t="shared" si="191"/>
        <v>8.2457225314368188</v>
      </c>
      <c r="P303" s="443">
        <f t="shared" si="197"/>
        <v>298.32</v>
      </c>
      <c r="Q303" s="443">
        <f t="shared" si="197"/>
        <v>40</v>
      </c>
      <c r="R303" s="599">
        <f t="shared" si="192"/>
        <v>13.408420488066506</v>
      </c>
    </row>
    <row r="304" spans="1:18">
      <c r="A304" s="442" t="s">
        <v>493</v>
      </c>
      <c r="B304" s="1412">
        <f t="shared" ref="B304:Q306" si="198">B183</f>
        <v>2</v>
      </c>
      <c r="C304" s="443">
        <f t="shared" si="198"/>
        <v>155.71</v>
      </c>
      <c r="D304" s="599">
        <f t="shared" si="198"/>
        <v>0</v>
      </c>
      <c r="E304" s="599">
        <f t="shared" si="198"/>
        <v>95.1</v>
      </c>
      <c r="F304" s="599">
        <f t="shared" si="198"/>
        <v>45</v>
      </c>
      <c r="G304" s="599">
        <f t="shared" si="198"/>
        <v>250.81</v>
      </c>
      <c r="H304" s="599">
        <f t="shared" si="198"/>
        <v>45</v>
      </c>
      <c r="I304" s="599">
        <f t="shared" si="189"/>
        <v>17.941868346557154</v>
      </c>
      <c r="J304" s="599">
        <f t="shared" si="198"/>
        <v>77</v>
      </c>
      <c r="K304" s="599">
        <f t="shared" si="198"/>
        <v>10.77</v>
      </c>
      <c r="L304" s="599">
        <f t="shared" si="190"/>
        <v>13.987012987012987</v>
      </c>
      <c r="M304" s="599">
        <f t="shared" si="198"/>
        <v>969.98</v>
      </c>
      <c r="N304" s="599">
        <f t="shared" si="198"/>
        <v>490.93</v>
      </c>
      <c r="O304" s="599">
        <f t="shared" si="191"/>
        <v>50.612383760489912</v>
      </c>
      <c r="P304" s="599">
        <f t="shared" si="198"/>
        <v>1297.79</v>
      </c>
      <c r="Q304" s="599">
        <f t="shared" si="198"/>
        <v>546.70000000000005</v>
      </c>
      <c r="R304" s="599">
        <f t="shared" si="192"/>
        <v>42.125459434885464</v>
      </c>
    </row>
    <row r="305" spans="1:18">
      <c r="A305" s="442" t="s">
        <v>53</v>
      </c>
      <c r="B305" s="1412">
        <f t="shared" si="198"/>
        <v>2</v>
      </c>
      <c r="C305" s="443">
        <f t="shared" si="198"/>
        <v>71.06</v>
      </c>
      <c r="D305" s="443">
        <f t="shared" si="198"/>
        <v>0</v>
      </c>
      <c r="E305" s="443">
        <f t="shared" si="198"/>
        <v>11.88</v>
      </c>
      <c r="F305" s="443">
        <f t="shared" si="198"/>
        <v>0</v>
      </c>
      <c r="G305" s="443">
        <f t="shared" si="198"/>
        <v>82.94</v>
      </c>
      <c r="H305" s="443">
        <f t="shared" si="198"/>
        <v>0</v>
      </c>
      <c r="I305" s="599">
        <f t="shared" si="189"/>
        <v>0</v>
      </c>
      <c r="J305" s="443">
        <f t="shared" si="198"/>
        <v>33.770000000000003</v>
      </c>
      <c r="K305" s="443">
        <f t="shared" si="198"/>
        <v>0</v>
      </c>
      <c r="L305" s="599">
        <f t="shared" si="190"/>
        <v>0</v>
      </c>
      <c r="M305" s="443">
        <f t="shared" si="198"/>
        <v>225.45</v>
      </c>
      <c r="N305" s="443">
        <f t="shared" si="198"/>
        <v>5</v>
      </c>
      <c r="O305" s="599">
        <f t="shared" si="191"/>
        <v>2.2177866489243736</v>
      </c>
      <c r="P305" s="443">
        <f t="shared" si="198"/>
        <v>342.15999999999997</v>
      </c>
      <c r="Q305" s="443">
        <f t="shared" si="198"/>
        <v>5</v>
      </c>
      <c r="R305" s="599">
        <f t="shared" si="192"/>
        <v>1.4613046527940146</v>
      </c>
    </row>
    <row r="306" spans="1:18">
      <c r="A306" s="442" t="s">
        <v>494</v>
      </c>
      <c r="B306" s="1412">
        <f t="shared" si="198"/>
        <v>1</v>
      </c>
      <c r="C306" s="443">
        <f t="shared" si="198"/>
        <v>29.92</v>
      </c>
      <c r="D306" s="443">
        <f t="shared" si="198"/>
        <v>0</v>
      </c>
      <c r="E306" s="443">
        <f t="shared" si="198"/>
        <v>7.04</v>
      </c>
      <c r="F306" s="443">
        <f t="shared" si="198"/>
        <v>0</v>
      </c>
      <c r="G306" s="443">
        <f t="shared" si="198"/>
        <v>36.96</v>
      </c>
      <c r="H306" s="443">
        <f t="shared" si="198"/>
        <v>0</v>
      </c>
      <c r="I306" s="599">
        <f t="shared" si="189"/>
        <v>0</v>
      </c>
      <c r="J306" s="443">
        <f t="shared" si="198"/>
        <v>11</v>
      </c>
      <c r="K306" s="443">
        <f t="shared" si="198"/>
        <v>0</v>
      </c>
      <c r="L306" s="599">
        <f t="shared" si="190"/>
        <v>0</v>
      </c>
      <c r="M306" s="443">
        <f t="shared" si="198"/>
        <v>1018.66</v>
      </c>
      <c r="N306" s="443">
        <f t="shared" si="198"/>
        <v>0</v>
      </c>
      <c r="O306" s="599">
        <f t="shared" si="191"/>
        <v>0</v>
      </c>
      <c r="P306" s="443">
        <f t="shared" si="198"/>
        <v>1066.6199999999999</v>
      </c>
      <c r="Q306" s="443">
        <f t="shared" si="198"/>
        <v>0</v>
      </c>
      <c r="R306" s="599">
        <f t="shared" si="192"/>
        <v>0</v>
      </c>
    </row>
    <row r="307" spans="1:18">
      <c r="A307" s="442" t="s">
        <v>27</v>
      </c>
      <c r="B307" s="1412">
        <f t="shared" ref="B307:H307" si="199">B186+B50</f>
        <v>3</v>
      </c>
      <c r="C307" s="443">
        <f t="shared" si="199"/>
        <v>51.7</v>
      </c>
      <c r="D307" s="443">
        <f t="shared" si="199"/>
        <v>0</v>
      </c>
      <c r="E307" s="443">
        <f t="shared" si="199"/>
        <v>4.8400000000000007</v>
      </c>
      <c r="F307" s="443">
        <f t="shared" si="199"/>
        <v>0</v>
      </c>
      <c r="G307" s="443">
        <f t="shared" si="199"/>
        <v>56.54</v>
      </c>
      <c r="H307" s="443">
        <f t="shared" si="199"/>
        <v>0</v>
      </c>
      <c r="I307" s="599">
        <f t="shared" si="189"/>
        <v>0</v>
      </c>
      <c r="J307" s="443">
        <f>J186+J50</f>
        <v>735.79</v>
      </c>
      <c r="K307" s="443">
        <f>K186+K50</f>
        <v>4.75</v>
      </c>
      <c r="L307" s="599">
        <f t="shared" si="190"/>
        <v>0.64556463121271013</v>
      </c>
      <c r="M307" s="443">
        <f>M186+M50</f>
        <v>7.43</v>
      </c>
      <c r="N307" s="443">
        <f>N186+N50</f>
        <v>0</v>
      </c>
      <c r="O307" s="599">
        <f t="shared" si="191"/>
        <v>0</v>
      </c>
      <c r="P307" s="443">
        <f>P186+P50</f>
        <v>799.76</v>
      </c>
      <c r="Q307" s="443">
        <f>Q186+Q50</f>
        <v>4.75</v>
      </c>
      <c r="R307" s="599">
        <f t="shared" si="192"/>
        <v>0.59392817845353607</v>
      </c>
    </row>
    <row r="308" spans="1:18">
      <c r="A308" s="442" t="s">
        <v>285</v>
      </c>
      <c r="B308" s="1412">
        <f>B187</f>
        <v>1</v>
      </c>
      <c r="C308" s="444">
        <f>C187</f>
        <v>33.39</v>
      </c>
      <c r="D308" s="444">
        <f t="shared" ref="D308:Q308" si="200">D187</f>
        <v>1.88</v>
      </c>
      <c r="E308" s="444">
        <f t="shared" si="200"/>
        <v>12.65</v>
      </c>
      <c r="F308" s="444">
        <f t="shared" si="200"/>
        <v>0</v>
      </c>
      <c r="G308" s="444">
        <f t="shared" si="200"/>
        <v>46.04</v>
      </c>
      <c r="H308" s="444">
        <f t="shared" si="200"/>
        <v>1.88</v>
      </c>
      <c r="I308" s="599">
        <f t="shared" si="189"/>
        <v>4.0834057341442218</v>
      </c>
      <c r="J308" s="444">
        <f t="shared" si="200"/>
        <v>120.12</v>
      </c>
      <c r="K308" s="444">
        <f t="shared" si="200"/>
        <v>4.26</v>
      </c>
      <c r="L308" s="599">
        <f t="shared" si="190"/>
        <v>3.5464535464535465</v>
      </c>
      <c r="M308" s="444">
        <f t="shared" si="200"/>
        <v>26.29</v>
      </c>
      <c r="N308" s="444">
        <f t="shared" si="200"/>
        <v>11.45</v>
      </c>
      <c r="O308" s="599">
        <f t="shared" si="191"/>
        <v>43.552681627995433</v>
      </c>
      <c r="P308" s="444">
        <f t="shared" si="200"/>
        <v>192.45</v>
      </c>
      <c r="Q308" s="444">
        <f t="shared" si="200"/>
        <v>17.59</v>
      </c>
      <c r="R308" s="599">
        <f t="shared" si="192"/>
        <v>9.1400363730839178</v>
      </c>
    </row>
    <row r="309" spans="1:18">
      <c r="A309" s="442" t="s">
        <v>11</v>
      </c>
      <c r="B309" s="1412">
        <f t="shared" ref="B309:H309" si="201">B51+B134+B188+B226+B238</f>
        <v>6</v>
      </c>
      <c r="C309" s="443">
        <f t="shared" si="201"/>
        <v>92.070000000000007</v>
      </c>
      <c r="D309" s="443">
        <f t="shared" si="201"/>
        <v>8.5500000000000007</v>
      </c>
      <c r="E309" s="443">
        <f t="shared" si="201"/>
        <v>0</v>
      </c>
      <c r="F309" s="443">
        <f t="shared" si="201"/>
        <v>0</v>
      </c>
      <c r="G309" s="443">
        <f t="shared" si="201"/>
        <v>92.070000000000007</v>
      </c>
      <c r="H309" s="443">
        <f t="shared" si="201"/>
        <v>8.5500000000000007</v>
      </c>
      <c r="I309" s="599">
        <f t="shared" si="189"/>
        <v>9.2864125122189645</v>
      </c>
      <c r="J309" s="443">
        <f>J51+J134+J188+J226+J238</f>
        <v>47.960000000000008</v>
      </c>
      <c r="K309" s="443">
        <f>K51+K134+K188+K226+K238</f>
        <v>0</v>
      </c>
      <c r="L309" s="599">
        <f t="shared" si="190"/>
        <v>0</v>
      </c>
      <c r="M309" s="443">
        <f>M51+M134+M188+M226+M238</f>
        <v>15.509999999999998</v>
      </c>
      <c r="N309" s="443">
        <f>N51+N134+N188+N226+N238</f>
        <v>0</v>
      </c>
      <c r="O309" s="599">
        <f t="shared" si="191"/>
        <v>0</v>
      </c>
      <c r="P309" s="443">
        <f>P51+P134+P188+P226+P238</f>
        <v>160.48999999999998</v>
      </c>
      <c r="Q309" s="443">
        <f>Q51+Q134+Q188+Q226+Q238</f>
        <v>8.5500000000000007</v>
      </c>
      <c r="R309" s="599">
        <f t="shared" si="192"/>
        <v>5.3274347311358978</v>
      </c>
    </row>
    <row r="310" spans="1:18">
      <c r="A310" s="442" t="s">
        <v>28</v>
      </c>
      <c r="B310" s="1412">
        <f t="shared" ref="B310:H310" si="202">B189+B55</f>
        <v>3</v>
      </c>
      <c r="C310" s="443">
        <f t="shared" si="202"/>
        <v>250.14</v>
      </c>
      <c r="D310" s="443">
        <f t="shared" si="202"/>
        <v>0</v>
      </c>
      <c r="E310" s="443">
        <f t="shared" si="202"/>
        <v>174.08</v>
      </c>
      <c r="F310" s="443">
        <f t="shared" si="202"/>
        <v>12.75</v>
      </c>
      <c r="G310" s="443">
        <f t="shared" si="202"/>
        <v>424.21999999999997</v>
      </c>
      <c r="H310" s="443">
        <f t="shared" si="202"/>
        <v>12.25</v>
      </c>
      <c r="I310" s="599">
        <f t="shared" si="189"/>
        <v>2.8876526330677481</v>
      </c>
      <c r="J310" s="443">
        <f>J189+J55</f>
        <v>195.64</v>
      </c>
      <c r="K310" s="443">
        <f>K189+K55</f>
        <v>0</v>
      </c>
      <c r="L310" s="599">
        <f t="shared" si="190"/>
        <v>0</v>
      </c>
      <c r="M310" s="443">
        <f>M189+M55</f>
        <v>1540.39</v>
      </c>
      <c r="N310" s="443">
        <f>N189+N55</f>
        <v>55.5</v>
      </c>
      <c r="O310" s="599">
        <f t="shared" si="191"/>
        <v>3.602983659982212</v>
      </c>
      <c r="P310" s="443">
        <f>P189+P55</f>
        <v>2160.25</v>
      </c>
      <c r="Q310" s="443">
        <f>Q189+Q55</f>
        <v>67.75</v>
      </c>
      <c r="R310" s="599">
        <f t="shared" si="192"/>
        <v>3.1362110866797828</v>
      </c>
    </row>
    <row r="311" spans="1:18">
      <c r="A311" s="442" t="s">
        <v>83</v>
      </c>
      <c r="B311" s="1412">
        <f t="shared" ref="B311:Q312" si="203">B191</f>
        <v>1</v>
      </c>
      <c r="C311" s="443">
        <f t="shared" si="203"/>
        <v>33</v>
      </c>
      <c r="D311" s="443">
        <f t="shared" si="203"/>
        <v>0</v>
      </c>
      <c r="E311" s="443">
        <f t="shared" si="203"/>
        <v>0</v>
      </c>
      <c r="F311" s="443">
        <f t="shared" si="203"/>
        <v>0</v>
      </c>
      <c r="G311" s="443">
        <f t="shared" si="203"/>
        <v>33</v>
      </c>
      <c r="H311" s="443">
        <f t="shared" si="203"/>
        <v>0</v>
      </c>
      <c r="I311" s="599">
        <f t="shared" si="189"/>
        <v>0</v>
      </c>
      <c r="J311" s="443">
        <f t="shared" si="203"/>
        <v>55</v>
      </c>
      <c r="K311" s="443">
        <f t="shared" si="203"/>
        <v>19</v>
      </c>
      <c r="L311" s="599">
        <f t="shared" si="190"/>
        <v>34.545454545454547</v>
      </c>
      <c r="M311" s="443">
        <f t="shared" si="203"/>
        <v>133.32</v>
      </c>
      <c r="N311" s="443">
        <f t="shared" si="203"/>
        <v>43.8</v>
      </c>
      <c r="O311" s="599">
        <f t="shared" si="191"/>
        <v>32.853285328532856</v>
      </c>
      <c r="P311" s="443">
        <f t="shared" si="203"/>
        <v>221.32</v>
      </c>
      <c r="Q311" s="443">
        <f t="shared" si="203"/>
        <v>62.8</v>
      </c>
      <c r="R311" s="599">
        <f t="shared" si="192"/>
        <v>28.375203325501534</v>
      </c>
    </row>
    <row r="312" spans="1:18">
      <c r="A312" s="571" t="s">
        <v>495</v>
      </c>
      <c r="B312" s="1414">
        <f t="shared" si="203"/>
        <v>1</v>
      </c>
      <c r="C312" s="599">
        <f t="shared" si="203"/>
        <v>38.5</v>
      </c>
      <c r="D312" s="599">
        <f t="shared" si="203"/>
        <v>0</v>
      </c>
      <c r="E312" s="599">
        <f t="shared" si="203"/>
        <v>48.62</v>
      </c>
      <c r="F312" s="599">
        <f t="shared" si="203"/>
        <v>0</v>
      </c>
      <c r="G312" s="599">
        <f t="shared" si="203"/>
        <v>87.12</v>
      </c>
      <c r="H312" s="599">
        <f t="shared" si="203"/>
        <v>0</v>
      </c>
      <c r="I312" s="599">
        <f t="shared" si="189"/>
        <v>0</v>
      </c>
      <c r="J312" s="599">
        <f t="shared" si="203"/>
        <v>354.42</v>
      </c>
      <c r="K312" s="599">
        <f t="shared" si="203"/>
        <v>0</v>
      </c>
      <c r="L312" s="599">
        <f t="shared" si="190"/>
        <v>0</v>
      </c>
      <c r="M312" s="599">
        <f t="shared" si="203"/>
        <v>1028.28</v>
      </c>
      <c r="N312" s="599">
        <f t="shared" si="203"/>
        <v>37</v>
      </c>
      <c r="O312" s="599">
        <f t="shared" si="191"/>
        <v>3.5982417240440352</v>
      </c>
      <c r="P312" s="599">
        <f t="shared" si="203"/>
        <v>1469.82</v>
      </c>
      <c r="Q312" s="599">
        <f t="shared" si="203"/>
        <v>37</v>
      </c>
      <c r="R312" s="599">
        <f t="shared" si="192"/>
        <v>2.5173150453797062</v>
      </c>
    </row>
    <row r="313" spans="1:18">
      <c r="A313" s="442" t="s">
        <v>19</v>
      </c>
      <c r="B313" s="1412">
        <f t="shared" ref="B313:H313" si="204">B241+B227+B193+B67+B53+B9</f>
        <v>8</v>
      </c>
      <c r="C313" s="443">
        <f t="shared" si="204"/>
        <v>253</v>
      </c>
      <c r="D313" s="443">
        <f t="shared" si="204"/>
        <v>3</v>
      </c>
      <c r="E313" s="443">
        <f t="shared" si="204"/>
        <v>70.62</v>
      </c>
      <c r="F313" s="443">
        <f t="shared" si="204"/>
        <v>1.5</v>
      </c>
      <c r="G313" s="443">
        <f t="shared" si="204"/>
        <v>323.61999999999995</v>
      </c>
      <c r="H313" s="443">
        <f t="shared" si="204"/>
        <v>4.5</v>
      </c>
      <c r="I313" s="599">
        <f t="shared" si="189"/>
        <v>1.3905197453803846</v>
      </c>
      <c r="J313" s="443">
        <f>J241+J227+J193+J67+J53+J9</f>
        <v>590.15</v>
      </c>
      <c r="K313" s="443">
        <f>K241+K227+K193+K67+K53+K9</f>
        <v>0</v>
      </c>
      <c r="L313" s="599">
        <f t="shared" si="190"/>
        <v>0</v>
      </c>
      <c r="M313" s="443">
        <f>M241+M227+M193+M67+M53+M9</f>
        <v>2616.2400000000002</v>
      </c>
      <c r="N313" s="443">
        <f>N241+N227+N193+N67+N53+N9</f>
        <v>19</v>
      </c>
      <c r="O313" s="599">
        <f t="shared" si="191"/>
        <v>0.72623306730269388</v>
      </c>
      <c r="P313" s="443">
        <f>P241+P227+P193+P67+P53+P9</f>
        <v>4154.37</v>
      </c>
      <c r="Q313" s="443">
        <f>Q241+Q227+Q193+Q67+Q53+Q9</f>
        <v>23.5</v>
      </c>
      <c r="R313" s="599">
        <f t="shared" si="192"/>
        <v>0.56566940354373829</v>
      </c>
    </row>
    <row r="314" spans="1:18">
      <c r="A314" s="571" t="s">
        <v>52</v>
      </c>
      <c r="B314" s="1414">
        <f>B194</f>
        <v>1</v>
      </c>
      <c r="C314" s="599">
        <f>C194</f>
        <v>27.5</v>
      </c>
      <c r="D314" s="599">
        <f t="shared" ref="D314:Q314" si="205">D194</f>
        <v>0</v>
      </c>
      <c r="E314" s="599">
        <f t="shared" si="205"/>
        <v>7.37</v>
      </c>
      <c r="F314" s="599">
        <f t="shared" si="205"/>
        <v>0</v>
      </c>
      <c r="G314" s="599">
        <f t="shared" si="205"/>
        <v>34.869999999999997</v>
      </c>
      <c r="H314" s="599">
        <f t="shared" si="205"/>
        <v>0</v>
      </c>
      <c r="I314" s="599">
        <f t="shared" si="189"/>
        <v>0</v>
      </c>
      <c r="J314" s="599">
        <f t="shared" si="205"/>
        <v>17.05</v>
      </c>
      <c r="K314" s="599">
        <f t="shared" si="205"/>
        <v>0</v>
      </c>
      <c r="L314" s="599">
        <f t="shared" si="190"/>
        <v>0</v>
      </c>
      <c r="M314" s="599">
        <f t="shared" si="205"/>
        <v>33.22</v>
      </c>
      <c r="N314" s="599">
        <f t="shared" si="205"/>
        <v>22.71</v>
      </c>
      <c r="O314" s="599">
        <f t="shared" si="191"/>
        <v>68.362432269717047</v>
      </c>
      <c r="P314" s="599">
        <f t="shared" si="205"/>
        <v>85.14</v>
      </c>
      <c r="Q314" s="599">
        <f t="shared" si="205"/>
        <v>22.71</v>
      </c>
      <c r="R314" s="599">
        <f t="shared" si="192"/>
        <v>26.673713883016209</v>
      </c>
    </row>
    <row r="315" spans="1:18">
      <c r="A315" s="442" t="s">
        <v>496</v>
      </c>
      <c r="B315" s="1412">
        <f t="shared" ref="B315:H315" si="206">B228+B197+B133+B108</f>
        <v>5</v>
      </c>
      <c r="C315" s="443">
        <f t="shared" si="206"/>
        <v>256.46999999999997</v>
      </c>
      <c r="D315" s="443">
        <f t="shared" si="206"/>
        <v>0</v>
      </c>
      <c r="E315" s="443">
        <f t="shared" si="206"/>
        <v>48.730000000000004</v>
      </c>
      <c r="F315" s="443">
        <f t="shared" si="206"/>
        <v>2</v>
      </c>
      <c r="G315" s="443">
        <f t="shared" si="206"/>
        <v>305.2</v>
      </c>
      <c r="H315" s="443">
        <f t="shared" si="206"/>
        <v>2</v>
      </c>
      <c r="I315" s="599">
        <f t="shared" si="189"/>
        <v>0.65530799475753609</v>
      </c>
      <c r="J315" s="443">
        <f>J228+J197+J133+J108</f>
        <v>41.8</v>
      </c>
      <c r="K315" s="443">
        <f>K228+K197+K133+K108</f>
        <v>20</v>
      </c>
      <c r="L315" s="599">
        <f t="shared" si="190"/>
        <v>47.846889952153113</v>
      </c>
      <c r="M315" s="443">
        <f>M228+M197+M133+M108</f>
        <v>1666.1799999999998</v>
      </c>
      <c r="N315" s="443">
        <f>N228+N197+N133+N108</f>
        <v>107.82999999999998</v>
      </c>
      <c r="O315" s="599">
        <f t="shared" si="191"/>
        <v>6.4716897334021528</v>
      </c>
      <c r="P315" s="443">
        <f>P228+P197+P133+P108</f>
        <v>2013.1799999999998</v>
      </c>
      <c r="Q315" s="443">
        <f>Q228+Q197+Q133+Q108</f>
        <v>129.82999999999998</v>
      </c>
      <c r="R315" s="599">
        <f t="shared" si="192"/>
        <v>6.4490010828639264</v>
      </c>
    </row>
    <row r="316" spans="1:18">
      <c r="A316" s="442" t="s">
        <v>498</v>
      </c>
      <c r="B316" s="1412">
        <f>B196</f>
        <v>1</v>
      </c>
      <c r="C316" s="443">
        <f>C196</f>
        <v>22</v>
      </c>
      <c r="D316" s="443">
        <f t="shared" ref="D316:Q316" si="207">D196</f>
        <v>0</v>
      </c>
      <c r="E316" s="443">
        <f t="shared" si="207"/>
        <v>0</v>
      </c>
      <c r="F316" s="443">
        <f t="shared" si="207"/>
        <v>0</v>
      </c>
      <c r="G316" s="443">
        <f t="shared" si="207"/>
        <v>22</v>
      </c>
      <c r="H316" s="443">
        <f t="shared" si="207"/>
        <v>0</v>
      </c>
      <c r="I316" s="599">
        <f t="shared" si="189"/>
        <v>0</v>
      </c>
      <c r="J316" s="443">
        <f t="shared" si="207"/>
        <v>11</v>
      </c>
      <c r="K316" s="443">
        <f t="shared" si="207"/>
        <v>0</v>
      </c>
      <c r="L316" s="599">
        <f t="shared" si="190"/>
        <v>0</v>
      </c>
      <c r="M316" s="443">
        <f t="shared" si="207"/>
        <v>11</v>
      </c>
      <c r="N316" s="443">
        <f t="shared" si="207"/>
        <v>0</v>
      </c>
      <c r="O316" s="599">
        <f t="shared" si="191"/>
        <v>0</v>
      </c>
      <c r="P316" s="443">
        <f t="shared" si="207"/>
        <v>44</v>
      </c>
      <c r="Q316" s="443">
        <f t="shared" si="207"/>
        <v>0</v>
      </c>
      <c r="R316" s="599">
        <f t="shared" si="192"/>
        <v>0</v>
      </c>
    </row>
    <row r="317" spans="1:18">
      <c r="A317" s="442" t="s">
        <v>51</v>
      </c>
      <c r="B317" s="1412">
        <f>B195</f>
        <v>1</v>
      </c>
      <c r="C317" s="443">
        <f>C195</f>
        <v>33</v>
      </c>
      <c r="D317" s="443">
        <f t="shared" ref="D317:Q317" si="208">D195</f>
        <v>0</v>
      </c>
      <c r="E317" s="443">
        <f t="shared" si="208"/>
        <v>0</v>
      </c>
      <c r="F317" s="443">
        <f t="shared" si="208"/>
        <v>0</v>
      </c>
      <c r="G317" s="443">
        <f t="shared" si="208"/>
        <v>33</v>
      </c>
      <c r="H317" s="443">
        <f t="shared" si="208"/>
        <v>0</v>
      </c>
      <c r="I317" s="599">
        <f t="shared" si="189"/>
        <v>0</v>
      </c>
      <c r="J317" s="443">
        <f t="shared" si="208"/>
        <v>22</v>
      </c>
      <c r="K317" s="443">
        <f t="shared" si="208"/>
        <v>0</v>
      </c>
      <c r="L317" s="599">
        <f t="shared" si="190"/>
        <v>0</v>
      </c>
      <c r="M317" s="443">
        <f t="shared" si="208"/>
        <v>28</v>
      </c>
      <c r="N317" s="443">
        <f t="shared" si="208"/>
        <v>0</v>
      </c>
      <c r="O317" s="599">
        <f t="shared" si="191"/>
        <v>0</v>
      </c>
      <c r="P317" s="443">
        <f t="shared" si="208"/>
        <v>83</v>
      </c>
      <c r="Q317" s="443">
        <f t="shared" si="208"/>
        <v>0</v>
      </c>
      <c r="R317" s="599">
        <f t="shared" si="192"/>
        <v>0</v>
      </c>
    </row>
    <row r="318" spans="1:18">
      <c r="A318" s="442" t="s">
        <v>26</v>
      </c>
      <c r="B318" s="1412">
        <f t="shared" ref="B318:H318" si="209">B239+B190+B107+B52</f>
        <v>5</v>
      </c>
      <c r="C318" s="443">
        <f t="shared" si="209"/>
        <v>88</v>
      </c>
      <c r="D318" s="443">
        <f t="shared" si="209"/>
        <v>0</v>
      </c>
      <c r="E318" s="443">
        <f t="shared" si="209"/>
        <v>1.1000000000000001</v>
      </c>
      <c r="F318" s="443">
        <f t="shared" si="209"/>
        <v>0</v>
      </c>
      <c r="G318" s="443">
        <f t="shared" si="209"/>
        <v>89.1</v>
      </c>
      <c r="H318" s="443">
        <f t="shared" si="209"/>
        <v>0</v>
      </c>
      <c r="I318" s="599">
        <f t="shared" si="189"/>
        <v>0</v>
      </c>
      <c r="J318" s="443">
        <f>J239+J190+J107+J52</f>
        <v>257.69</v>
      </c>
      <c r="K318" s="443">
        <f>K239+K190+K107+K52</f>
        <v>536.66</v>
      </c>
      <c r="L318" s="599">
        <f t="shared" si="190"/>
        <v>208.25798439986031</v>
      </c>
      <c r="M318" s="443">
        <f>M239+M190+M107+M52</f>
        <v>35.75</v>
      </c>
      <c r="N318" s="443">
        <f>N239+N190+N107+N52</f>
        <v>0</v>
      </c>
      <c r="O318" s="599">
        <f t="shared" si="191"/>
        <v>0</v>
      </c>
      <c r="P318" s="443">
        <f>P239+P190+P107+P52</f>
        <v>429.4</v>
      </c>
      <c r="Q318" s="443">
        <f>Q239+Q190+Q107+Q52</f>
        <v>536.66</v>
      </c>
      <c r="R318" s="599">
        <f t="shared" si="192"/>
        <v>124.97904052165813</v>
      </c>
    </row>
    <row r="319" spans="1:18">
      <c r="A319" s="571" t="s">
        <v>108</v>
      </c>
      <c r="B319" s="1414">
        <f>B198</f>
        <v>1</v>
      </c>
      <c r="C319" s="599">
        <f>C198</f>
        <v>22</v>
      </c>
      <c r="D319" s="599">
        <f t="shared" ref="D319:Q319" si="210">D198</f>
        <v>0</v>
      </c>
      <c r="E319" s="599">
        <f t="shared" si="210"/>
        <v>0</v>
      </c>
      <c r="F319" s="599">
        <f t="shared" si="210"/>
        <v>4.9000000000000004</v>
      </c>
      <c r="G319" s="599">
        <f t="shared" si="210"/>
        <v>22</v>
      </c>
      <c r="H319" s="599">
        <f t="shared" si="210"/>
        <v>4.9000000000000004</v>
      </c>
      <c r="I319" s="599">
        <f t="shared" si="189"/>
        <v>22.272727272727273</v>
      </c>
      <c r="J319" s="599">
        <f t="shared" si="210"/>
        <v>16.5</v>
      </c>
      <c r="K319" s="599">
        <f t="shared" si="210"/>
        <v>0</v>
      </c>
      <c r="L319" s="599">
        <f t="shared" si="190"/>
        <v>0</v>
      </c>
      <c r="M319" s="599">
        <f t="shared" si="210"/>
        <v>178.42</v>
      </c>
      <c r="N319" s="599">
        <f t="shared" si="210"/>
        <v>56</v>
      </c>
      <c r="O319" s="599">
        <f t="shared" si="191"/>
        <v>31.386615850241007</v>
      </c>
      <c r="P319" s="599">
        <f t="shared" si="210"/>
        <v>216.92</v>
      </c>
      <c r="Q319" s="599">
        <f t="shared" si="210"/>
        <v>60.9</v>
      </c>
      <c r="R319" s="599">
        <f t="shared" si="192"/>
        <v>28.074866310160427</v>
      </c>
    </row>
    <row r="320" spans="1:18">
      <c r="A320" s="571" t="s">
        <v>59</v>
      </c>
      <c r="B320" s="1414">
        <f>B198</f>
        <v>1</v>
      </c>
      <c r="C320" s="599">
        <f>C198</f>
        <v>22</v>
      </c>
      <c r="D320" s="599">
        <f t="shared" ref="D320:Q320" si="211">D198</f>
        <v>0</v>
      </c>
      <c r="E320" s="599">
        <f t="shared" si="211"/>
        <v>0</v>
      </c>
      <c r="F320" s="599">
        <f t="shared" si="211"/>
        <v>4.9000000000000004</v>
      </c>
      <c r="G320" s="599">
        <f t="shared" si="211"/>
        <v>22</v>
      </c>
      <c r="H320" s="599">
        <f t="shared" si="211"/>
        <v>4.9000000000000004</v>
      </c>
      <c r="I320" s="599">
        <f t="shared" si="189"/>
        <v>22.272727272727273</v>
      </c>
      <c r="J320" s="599">
        <f t="shared" si="211"/>
        <v>16.5</v>
      </c>
      <c r="K320" s="599">
        <f t="shared" si="211"/>
        <v>0</v>
      </c>
      <c r="L320" s="599">
        <f t="shared" si="190"/>
        <v>0</v>
      </c>
      <c r="M320" s="599">
        <f t="shared" si="211"/>
        <v>178.42</v>
      </c>
      <c r="N320" s="599">
        <f t="shared" si="211"/>
        <v>56</v>
      </c>
      <c r="O320" s="599">
        <f t="shared" si="191"/>
        <v>31.386615850241007</v>
      </c>
      <c r="P320" s="599">
        <f t="shared" si="211"/>
        <v>216.92</v>
      </c>
      <c r="Q320" s="599">
        <f t="shared" si="211"/>
        <v>60.9</v>
      </c>
      <c r="R320" s="599">
        <f t="shared" si="192"/>
        <v>28.074866310160427</v>
      </c>
    </row>
    <row r="321" spans="1:18">
      <c r="A321" s="442" t="s">
        <v>60</v>
      </c>
      <c r="B321" s="1412">
        <f>B200</f>
        <v>1</v>
      </c>
      <c r="C321" s="443">
        <f>C200</f>
        <v>16.5</v>
      </c>
      <c r="D321" s="443">
        <f t="shared" ref="D321:Q321" si="212">D200</f>
        <v>0</v>
      </c>
      <c r="E321" s="443">
        <f t="shared" si="212"/>
        <v>0</v>
      </c>
      <c r="F321" s="443">
        <f t="shared" si="212"/>
        <v>0</v>
      </c>
      <c r="G321" s="443">
        <f t="shared" si="212"/>
        <v>16.5</v>
      </c>
      <c r="H321" s="443">
        <f t="shared" si="212"/>
        <v>0</v>
      </c>
      <c r="I321" s="599">
        <f t="shared" si="189"/>
        <v>0</v>
      </c>
      <c r="J321" s="443">
        <f t="shared" si="212"/>
        <v>11</v>
      </c>
      <c r="K321" s="443">
        <f t="shared" si="212"/>
        <v>0</v>
      </c>
      <c r="L321" s="599">
        <f t="shared" si="190"/>
        <v>0</v>
      </c>
      <c r="M321" s="443">
        <f t="shared" si="212"/>
        <v>11</v>
      </c>
      <c r="N321" s="443">
        <f t="shared" si="212"/>
        <v>0</v>
      </c>
      <c r="O321" s="599">
        <f t="shared" si="191"/>
        <v>0</v>
      </c>
      <c r="P321" s="443">
        <f t="shared" si="212"/>
        <v>38.5</v>
      </c>
      <c r="Q321" s="443">
        <f t="shared" si="212"/>
        <v>0</v>
      </c>
      <c r="R321" s="599">
        <f t="shared" si="192"/>
        <v>0</v>
      </c>
    </row>
    <row r="322" spans="1:18">
      <c r="A322" s="442" t="s">
        <v>269</v>
      </c>
      <c r="B322" s="1412">
        <f t="shared" ref="B322:H322" si="213">B12+B20+B37+B58+B70+B92+B100+B111+B121+B136+B153+B162+B203+B217+B230+B243</f>
        <v>37</v>
      </c>
      <c r="C322" s="443">
        <f t="shared" si="213"/>
        <v>162.47</v>
      </c>
      <c r="D322" s="443">
        <f t="shared" si="213"/>
        <v>15.99</v>
      </c>
      <c r="E322" s="443">
        <f t="shared" si="213"/>
        <v>3137.21</v>
      </c>
      <c r="F322" s="443">
        <f t="shared" si="213"/>
        <v>6.3</v>
      </c>
      <c r="G322" s="443">
        <f t="shared" si="213"/>
        <v>3299.68</v>
      </c>
      <c r="H322" s="443">
        <f t="shared" si="213"/>
        <v>22.29</v>
      </c>
      <c r="I322" s="599">
        <f t="shared" si="189"/>
        <v>0.67552005042913255</v>
      </c>
      <c r="J322" s="443">
        <f>J12+J20+J37+J58+J70+J92+J100+J111+J121+J136+J153+J162+J203+J217+J230+J243</f>
        <v>220.43</v>
      </c>
      <c r="K322" s="443">
        <f>K12+K20+K37+K58+K70+K92+K100+K111+K121+K136+K153+K162+K203+K217+K230+K243</f>
        <v>80.55</v>
      </c>
      <c r="L322" s="599">
        <f t="shared" si="190"/>
        <v>36.54221294742095</v>
      </c>
      <c r="M322" s="443">
        <f>M12+M20+M37+M58+M70+M92+M100+M111+M121+M136+M153+M162+M203+M217+M230+M243</f>
        <v>2111.9700000000003</v>
      </c>
      <c r="N322" s="443">
        <f>N12+N20+N37+N58+N70+N92+N100+N111+N121+N136+N153+N162+N203+N217+N230+N243</f>
        <v>21.18</v>
      </c>
      <c r="O322" s="599">
        <f t="shared" si="191"/>
        <v>1.002855154192531</v>
      </c>
      <c r="P322" s="443">
        <f>P12+P20+P37+P58+P70+P92+P100+P111+P121+P136+P153+P162+P203+P217+P230+P243</f>
        <v>6653.7599999999993</v>
      </c>
      <c r="Q322" s="443">
        <f>Q12+Q20+Q37+Q58+Q70+Q92+Q100+Q111+Q121+Q136+Q153+Q162+Q203+Q217+Q230+Q243</f>
        <v>124.01999999999998</v>
      </c>
      <c r="R322" s="599">
        <f t="shared" si="192"/>
        <v>1.8639085269080939</v>
      </c>
    </row>
    <row r="323" spans="1:18">
      <c r="A323" s="442" t="s">
        <v>16</v>
      </c>
      <c r="B323" s="1412">
        <f>B202+B120+B110+B91+B79+B69+B57+B36+B11</f>
        <v>29</v>
      </c>
      <c r="C323" s="443">
        <f>C202+C120+C110+C91+C79+C69+C57+C36+C11</f>
        <v>704</v>
      </c>
      <c r="D323" s="443">
        <f>D202+D120+D110+D91+D79+D69+D57+D36+D11</f>
        <v>107.88</v>
      </c>
      <c r="E323" s="443">
        <f>E202+E120+E110+E91+E79+E69+E57+E36+E11</f>
        <v>267.45999999999998</v>
      </c>
      <c r="F323" s="443">
        <v>59.19</v>
      </c>
      <c r="G323" s="443">
        <f>G202+G120+G110+G91+G79+G69+G57+G36+G11</f>
        <v>971.45999999999992</v>
      </c>
      <c r="H323" s="443">
        <f>H202+H120+H110+H91+H79+H69+H57+H36+H11</f>
        <v>158.70999999999998</v>
      </c>
      <c r="I323" s="599">
        <f t="shared" si="189"/>
        <v>16.337265559055442</v>
      </c>
      <c r="J323" s="443">
        <f>J202+J120+J110+J91+J79+J69+J57+J36+J11</f>
        <v>65.739999999999995</v>
      </c>
      <c r="K323" s="443">
        <f>K202+K120+K110+K91+K79+K69+K57+K36+K11</f>
        <v>15.950000000000003</v>
      </c>
      <c r="L323" s="599">
        <f t="shared" si="190"/>
        <v>24.26224520839672</v>
      </c>
      <c r="M323" s="443">
        <f>M202+M120+M110+M91+M79+M69+M57+M36+M11</f>
        <v>2851.2200000000003</v>
      </c>
      <c r="N323" s="443">
        <f>N202+N120+N110+N91+N79+N69+N57+N36+N11</f>
        <v>350.24</v>
      </c>
      <c r="O323" s="599">
        <f t="shared" si="191"/>
        <v>12.283864451006938</v>
      </c>
      <c r="P323" s="443">
        <f>P202+P120+P110+P91+P79+P69+P57+P36+P11</f>
        <v>3888.42</v>
      </c>
      <c r="Q323" s="443">
        <f>Q202+Q120+Q110+Q91+Q79+Q69+Q57+Q36+Q11</f>
        <v>524.90000000000009</v>
      </c>
      <c r="R323" s="599">
        <f t="shared" si="192"/>
        <v>13.499056171915587</v>
      </c>
    </row>
    <row r="324" spans="1:18" s="743" customFormat="1">
      <c r="A324" s="443" t="s">
        <v>63</v>
      </c>
      <c r="B324" s="637">
        <f t="shared" ref="B324:K324" si="214">SUM(B298:B323)</f>
        <v>189</v>
      </c>
      <c r="C324" s="600">
        <v>5400.26</v>
      </c>
      <c r="D324" s="600">
        <f t="shared" si="214"/>
        <v>233.65999999999997</v>
      </c>
      <c r="E324" s="600">
        <v>8631</v>
      </c>
      <c r="F324" s="600">
        <v>252.25</v>
      </c>
      <c r="G324" s="600">
        <f>C324+E324</f>
        <v>14031.26</v>
      </c>
      <c r="H324" s="600">
        <f>D324+F324</f>
        <v>485.90999999999997</v>
      </c>
      <c r="I324" s="599">
        <f t="shared" si="189"/>
        <v>3.4630532111870207</v>
      </c>
      <c r="J324" s="600">
        <v>6665.91</v>
      </c>
      <c r="K324" s="600">
        <f t="shared" si="214"/>
        <v>830.56999999999994</v>
      </c>
      <c r="L324" s="599">
        <f t="shared" si="190"/>
        <v>12.459964205937373</v>
      </c>
      <c r="M324" s="600">
        <v>32229.08</v>
      </c>
      <c r="N324" s="600">
        <v>2114.96</v>
      </c>
      <c r="O324" s="599">
        <f t="shared" si="191"/>
        <v>6.5622723329365904</v>
      </c>
      <c r="P324" s="600">
        <f>M324+J324+G324</f>
        <v>52926.250000000007</v>
      </c>
      <c r="Q324" s="600">
        <f>N324+K324+H324</f>
        <v>3431.4399999999996</v>
      </c>
      <c r="R324" s="599">
        <f t="shared" si="192"/>
        <v>6.4834368578918768</v>
      </c>
    </row>
    <row r="325" spans="1:18">
      <c r="C325" s="743"/>
    </row>
  </sheetData>
  <mergeCells count="220">
    <mergeCell ref="A1:R1"/>
    <mergeCell ref="B4:C4"/>
    <mergeCell ref="D4:M4"/>
    <mergeCell ref="Q4:R4"/>
    <mergeCell ref="A5:A6"/>
    <mergeCell ref="B5:B6"/>
    <mergeCell ref="C5:D5"/>
    <mergeCell ref="E5:F5"/>
    <mergeCell ref="G5:I5"/>
    <mergeCell ref="J5:L5"/>
    <mergeCell ref="M5:O5"/>
    <mergeCell ref="P5:R5"/>
    <mergeCell ref="B15:C15"/>
    <mergeCell ref="A16:A17"/>
    <mergeCell ref="B16:B17"/>
    <mergeCell ref="C16:D16"/>
    <mergeCell ref="E16:F16"/>
    <mergeCell ref="G16:I16"/>
    <mergeCell ref="J16:L16"/>
    <mergeCell ref="M16:O16"/>
    <mergeCell ref="P16:R16"/>
    <mergeCell ref="D23:M23"/>
    <mergeCell ref="A24:A25"/>
    <mergeCell ref="B24:B25"/>
    <mergeCell ref="C24:D24"/>
    <mergeCell ref="E24:F24"/>
    <mergeCell ref="G24:I24"/>
    <mergeCell ref="J24:L24"/>
    <mergeCell ref="M24:O24"/>
    <mergeCell ref="P24:R24"/>
    <mergeCell ref="B30:C30"/>
    <mergeCell ref="D30:M30"/>
    <mergeCell ref="A31:A32"/>
    <mergeCell ref="B31:B32"/>
    <mergeCell ref="C31:D31"/>
    <mergeCell ref="E31:F31"/>
    <mergeCell ref="G31:I31"/>
    <mergeCell ref="J31:L31"/>
    <mergeCell ref="M31:O31"/>
    <mergeCell ref="P31:R31"/>
    <mergeCell ref="A44:R44"/>
    <mergeCell ref="B45:C45"/>
    <mergeCell ref="D45:N45"/>
    <mergeCell ref="Q45:R45"/>
    <mergeCell ref="A46:A47"/>
    <mergeCell ref="B46:B47"/>
    <mergeCell ref="C46:D46"/>
    <mergeCell ref="E46:F46"/>
    <mergeCell ref="G46:I46"/>
    <mergeCell ref="J46:L46"/>
    <mergeCell ref="M46:O46"/>
    <mergeCell ref="P46:R46"/>
    <mergeCell ref="B62:C62"/>
    <mergeCell ref="D62:M62"/>
    <mergeCell ref="A63:A64"/>
    <mergeCell ref="B63:B64"/>
    <mergeCell ref="C63:D63"/>
    <mergeCell ref="E63:F63"/>
    <mergeCell ref="G63:I63"/>
    <mergeCell ref="J75:L75"/>
    <mergeCell ref="M75:O75"/>
    <mergeCell ref="P75:R75"/>
    <mergeCell ref="A85:R85"/>
    <mergeCell ref="B86:C86"/>
    <mergeCell ref="D86:P86"/>
    <mergeCell ref="Q86:R86"/>
    <mergeCell ref="J63:L63"/>
    <mergeCell ref="M63:O63"/>
    <mergeCell ref="P63:R63"/>
    <mergeCell ref="B74:C74"/>
    <mergeCell ref="D74:M74"/>
    <mergeCell ref="A75:A76"/>
    <mergeCell ref="B75:B76"/>
    <mergeCell ref="C75:D75"/>
    <mergeCell ref="E75:F75"/>
    <mergeCell ref="G75:I75"/>
    <mergeCell ref="P87:R87"/>
    <mergeCell ref="B95:C95"/>
    <mergeCell ref="D95:R95"/>
    <mergeCell ref="A96:A97"/>
    <mergeCell ref="B96:B97"/>
    <mergeCell ref="C96:D96"/>
    <mergeCell ref="E96:F96"/>
    <mergeCell ref="G96:I96"/>
    <mergeCell ref="J96:L96"/>
    <mergeCell ref="M96:O96"/>
    <mergeCell ref="A87:A88"/>
    <mergeCell ref="C87:D87"/>
    <mergeCell ref="E87:F87"/>
    <mergeCell ref="G87:I87"/>
    <mergeCell ref="J87:L87"/>
    <mergeCell ref="M87:O87"/>
    <mergeCell ref="P96:R96"/>
    <mergeCell ref="B103:D103"/>
    <mergeCell ref="E103:R103"/>
    <mergeCell ref="A104:A105"/>
    <mergeCell ref="B104:B105"/>
    <mergeCell ref="C104:D104"/>
    <mergeCell ref="E104:F104"/>
    <mergeCell ref="G104:I104"/>
    <mergeCell ref="J104:L104"/>
    <mergeCell ref="M104:O104"/>
    <mergeCell ref="P104:R104"/>
    <mergeCell ref="B114:C114"/>
    <mergeCell ref="D114:R114"/>
    <mergeCell ref="A115:A116"/>
    <mergeCell ref="B115:B116"/>
    <mergeCell ref="C115:D115"/>
    <mergeCell ref="E115:F115"/>
    <mergeCell ref="G115:I115"/>
    <mergeCell ref="J115:L115"/>
    <mergeCell ref="M115:O115"/>
    <mergeCell ref="P115:R115"/>
    <mergeCell ref="A127:R127"/>
    <mergeCell ref="D128:P128"/>
    <mergeCell ref="Q128:R128"/>
    <mergeCell ref="A129:A130"/>
    <mergeCell ref="B129:B130"/>
    <mergeCell ref="C129:D129"/>
    <mergeCell ref="E129:F129"/>
    <mergeCell ref="G129:I129"/>
    <mergeCell ref="J129:L129"/>
    <mergeCell ref="M129:O129"/>
    <mergeCell ref="P129:R129"/>
    <mergeCell ref="D140:R140"/>
    <mergeCell ref="A141:A142"/>
    <mergeCell ref="B141:B142"/>
    <mergeCell ref="C141:D141"/>
    <mergeCell ref="E141:F141"/>
    <mergeCell ref="G141:I141"/>
    <mergeCell ref="J141:L141"/>
    <mergeCell ref="M141:O141"/>
    <mergeCell ref="P141:R141"/>
    <mergeCell ref="D148:R148"/>
    <mergeCell ref="A149:A150"/>
    <mergeCell ref="B149:B150"/>
    <mergeCell ref="C149:D149"/>
    <mergeCell ref="E149:F149"/>
    <mergeCell ref="G149:I149"/>
    <mergeCell ref="J149:L149"/>
    <mergeCell ref="M149:O149"/>
    <mergeCell ref="P149:R149"/>
    <mergeCell ref="D157:R157"/>
    <mergeCell ref="A158:A159"/>
    <mergeCell ref="B158:B159"/>
    <mergeCell ref="C158:D158"/>
    <mergeCell ref="E158:F158"/>
    <mergeCell ref="G158:I158"/>
    <mergeCell ref="J158:L158"/>
    <mergeCell ref="M158:O158"/>
    <mergeCell ref="P158:R158"/>
    <mergeCell ref="A167:R167"/>
    <mergeCell ref="Q168:R168"/>
    <mergeCell ref="A169:A170"/>
    <mergeCell ref="B169:B170"/>
    <mergeCell ref="C169:D169"/>
    <mergeCell ref="E169:F169"/>
    <mergeCell ref="G169:I169"/>
    <mergeCell ref="J169:L169"/>
    <mergeCell ref="M169:O169"/>
    <mergeCell ref="P169:R169"/>
    <mergeCell ref="D174:R174"/>
    <mergeCell ref="A175:A176"/>
    <mergeCell ref="B175:B176"/>
    <mergeCell ref="C175:D175"/>
    <mergeCell ref="E175:F175"/>
    <mergeCell ref="G175:I175"/>
    <mergeCell ref="J175:L175"/>
    <mergeCell ref="M175:O175"/>
    <mergeCell ref="P175:R175"/>
    <mergeCell ref="A209:R209"/>
    <mergeCell ref="Q211:R211"/>
    <mergeCell ref="A212:A213"/>
    <mergeCell ref="B212:B213"/>
    <mergeCell ref="C212:D212"/>
    <mergeCell ref="E212:F212"/>
    <mergeCell ref="G212:I212"/>
    <mergeCell ref="J212:L212"/>
    <mergeCell ref="M212:O212"/>
    <mergeCell ref="P212:R212"/>
    <mergeCell ref="D221:R221"/>
    <mergeCell ref="A222:A223"/>
    <mergeCell ref="B222:B223"/>
    <mergeCell ref="C222:D222"/>
    <mergeCell ref="E222:F222"/>
    <mergeCell ref="G222:I222"/>
    <mergeCell ref="J222:L222"/>
    <mergeCell ref="M222:O222"/>
    <mergeCell ref="P222:R222"/>
    <mergeCell ref="D234:R234"/>
    <mergeCell ref="A235:A236"/>
    <mergeCell ref="B235:B236"/>
    <mergeCell ref="C235:D235"/>
    <mergeCell ref="E235:F235"/>
    <mergeCell ref="G235:I235"/>
    <mergeCell ref="J235:L235"/>
    <mergeCell ref="M235:O235"/>
    <mergeCell ref="P235:R235"/>
    <mergeCell ref="A249:R249"/>
    <mergeCell ref="Q254:R254"/>
    <mergeCell ref="A255:A256"/>
    <mergeCell ref="B255:B256"/>
    <mergeCell ref="C255:D255"/>
    <mergeCell ref="E255:F255"/>
    <mergeCell ref="G255:I255"/>
    <mergeCell ref="J255:L255"/>
    <mergeCell ref="M255:O255"/>
    <mergeCell ref="P255:R255"/>
    <mergeCell ref="I252:J252"/>
    <mergeCell ref="P296:R296"/>
    <mergeCell ref="A293:R293"/>
    <mergeCell ref="D294:N294"/>
    <mergeCell ref="Q295:R295"/>
    <mergeCell ref="A296:A297"/>
    <mergeCell ref="B296:B297"/>
    <mergeCell ref="C296:D296"/>
    <mergeCell ref="E296:F296"/>
    <mergeCell ref="G296:I296"/>
    <mergeCell ref="J296:L296"/>
    <mergeCell ref="M296:O296"/>
  </mergeCells>
  <printOptions horizontalCentered="1" verticalCentered="1"/>
  <pageMargins left="0.52" right="0.27" top="0.94" bottom="0.62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H9" sqref="H9"/>
    </sheetView>
  </sheetViews>
  <sheetFormatPr defaultRowHeight="15"/>
  <cols>
    <col min="1" max="1" width="25.85546875" bestFit="1" customWidth="1"/>
    <col min="2" max="2" width="19.28515625" customWidth="1"/>
    <col min="3" max="3" width="14.28515625" bestFit="1" customWidth="1"/>
    <col min="4" max="4" width="14.140625" customWidth="1"/>
    <col min="5" max="5" width="14" bestFit="1" customWidth="1"/>
    <col min="6" max="7" width="14.28515625" bestFit="1" customWidth="1"/>
  </cols>
  <sheetData>
    <row r="1" spans="1:7" ht="19.5">
      <c r="A1" s="1435">
        <v>5</v>
      </c>
      <c r="B1" s="1435"/>
      <c r="C1" s="1435"/>
      <c r="D1" s="1435"/>
      <c r="E1" s="1435"/>
      <c r="F1" s="1025"/>
      <c r="G1" s="935"/>
    </row>
    <row r="2" spans="1:7" ht="24.75">
      <c r="A2" s="1440" t="s">
        <v>639</v>
      </c>
      <c r="B2" s="1440"/>
      <c r="C2" s="1440"/>
      <c r="D2" s="1440"/>
      <c r="E2" s="1440"/>
      <c r="F2" s="1024"/>
      <c r="G2" s="229"/>
    </row>
    <row r="3" spans="1:7" ht="24.75">
      <c r="A3" s="1435" t="s">
        <v>563</v>
      </c>
      <c r="B3" s="1435"/>
      <c r="C3" s="1435"/>
      <c r="D3" s="1435"/>
      <c r="E3" s="1435"/>
      <c r="F3" s="1025"/>
      <c r="G3" s="934"/>
    </row>
    <row r="4" spans="1:7" ht="20.25">
      <c r="A4" s="741"/>
      <c r="B4" s="741"/>
      <c r="C4" s="741"/>
      <c r="D4" s="741"/>
      <c r="E4" s="741"/>
      <c r="F4" s="741"/>
      <c r="G4" s="929"/>
    </row>
    <row r="5" spans="1:7" ht="20.25" customHeight="1">
      <c r="A5" s="1436" t="s">
        <v>468</v>
      </c>
      <c r="B5" s="1436" t="s">
        <v>469</v>
      </c>
      <c r="C5" s="1438" t="s">
        <v>470</v>
      </c>
      <c r="D5" s="1439"/>
      <c r="E5" s="1439"/>
      <c r="F5" s="942"/>
      <c r="G5" s="229"/>
    </row>
    <row r="6" spans="1:7" ht="39.75">
      <c r="A6" s="1437"/>
      <c r="B6" s="1437"/>
      <c r="C6" s="937" t="s">
        <v>567</v>
      </c>
      <c r="D6" s="937" t="s">
        <v>568</v>
      </c>
      <c r="E6" s="937" t="s">
        <v>569</v>
      </c>
      <c r="G6" s="936"/>
    </row>
    <row r="7" spans="1:7" ht="19.5" customHeight="1">
      <c r="A7" s="938" t="s">
        <v>471</v>
      </c>
      <c r="B7" s="939">
        <v>60</v>
      </c>
      <c r="C7" s="940">
        <v>37.11</v>
      </c>
      <c r="D7" s="940">
        <v>31.92</v>
      </c>
      <c r="E7" s="943">
        <v>32.31</v>
      </c>
      <c r="G7" s="930"/>
    </row>
    <row r="8" spans="1:7" ht="30.75">
      <c r="A8" s="938" t="s">
        <v>472</v>
      </c>
      <c r="B8" s="939">
        <v>60</v>
      </c>
      <c r="C8" s="940">
        <v>43.71</v>
      </c>
      <c r="D8" s="940">
        <v>37.42</v>
      </c>
      <c r="E8" s="943">
        <v>36.729999999999997</v>
      </c>
      <c r="G8" s="933"/>
    </row>
    <row r="9" spans="1:7" ht="45.75">
      <c r="A9" s="938" t="s">
        <v>473</v>
      </c>
      <c r="B9" s="939">
        <v>40</v>
      </c>
      <c r="C9" s="940">
        <v>38.75</v>
      </c>
      <c r="D9" s="940">
        <v>39.18</v>
      </c>
      <c r="E9" s="943">
        <v>38.619999999999997</v>
      </c>
      <c r="G9" s="933"/>
    </row>
    <row r="10" spans="1:7" ht="45.75">
      <c r="A10" s="938" t="s">
        <v>474</v>
      </c>
      <c r="B10" s="939">
        <v>18</v>
      </c>
      <c r="C10" s="940">
        <v>17.84</v>
      </c>
      <c r="D10" s="940">
        <v>18.37</v>
      </c>
      <c r="E10" s="943">
        <v>16.2</v>
      </c>
      <c r="G10" s="933"/>
    </row>
    <row r="11" spans="1:7" ht="30.75">
      <c r="A11" s="938" t="s">
        <v>475</v>
      </c>
      <c r="B11" s="939">
        <v>10</v>
      </c>
      <c r="C11" s="940">
        <v>14.36</v>
      </c>
      <c r="D11" s="940">
        <v>17.05</v>
      </c>
      <c r="E11" s="943">
        <v>13.65</v>
      </c>
      <c r="G11" s="933"/>
    </row>
    <row r="12" spans="1:7" ht="15.75">
      <c r="A12" s="229"/>
      <c r="B12" s="931"/>
      <c r="C12" s="932"/>
      <c r="D12" s="933"/>
      <c r="E12" s="933"/>
      <c r="F12" s="933"/>
      <c r="G12" s="933"/>
    </row>
  </sheetData>
  <mergeCells count="6">
    <mergeCell ref="A1:E1"/>
    <mergeCell ref="A5:A6"/>
    <mergeCell ref="B5:B6"/>
    <mergeCell ref="C5:E5"/>
    <mergeCell ref="A2:E2"/>
    <mergeCell ref="A3:E3"/>
  </mergeCells>
  <printOptions gridLines="1"/>
  <pageMargins left="0.7" right="0.7" top="0.75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6"/>
  <sheetViews>
    <sheetView topLeftCell="A40" workbookViewId="0">
      <selection activeCell="C9" sqref="C9"/>
    </sheetView>
  </sheetViews>
  <sheetFormatPr defaultRowHeight="15"/>
  <cols>
    <col min="1" max="1" width="7" bestFit="1" customWidth="1"/>
    <col min="2" max="2" width="21.7109375" bestFit="1" customWidth="1"/>
    <col min="3" max="3" width="22.7109375" bestFit="1" customWidth="1"/>
    <col min="4" max="5" width="9.5703125" bestFit="1" customWidth="1"/>
    <col min="6" max="6" width="12.7109375" bestFit="1" customWidth="1"/>
    <col min="7" max="7" width="11.85546875" bestFit="1" customWidth="1"/>
  </cols>
  <sheetData>
    <row r="1" spans="1:7" ht="15.75">
      <c r="A1" s="1443" t="s">
        <v>595</v>
      </c>
      <c r="B1" s="1443"/>
      <c r="C1" s="1443"/>
      <c r="D1" s="1443"/>
      <c r="E1" s="1443"/>
      <c r="F1" s="1443"/>
      <c r="G1" s="1443"/>
    </row>
    <row r="2" spans="1:7" ht="18">
      <c r="A2" s="995"/>
      <c r="B2" s="995"/>
      <c r="C2" s="996" t="s">
        <v>147</v>
      </c>
      <c r="D2" s="995"/>
      <c r="E2" s="995"/>
      <c r="F2" s="995"/>
      <c r="G2" s="995"/>
    </row>
    <row r="3" spans="1:7">
      <c r="A3" s="995"/>
      <c r="B3" s="997" t="s">
        <v>572</v>
      </c>
      <c r="C3" s="995"/>
      <c r="D3" s="995"/>
      <c r="E3" s="995"/>
      <c r="F3" s="995"/>
      <c r="G3" s="995"/>
    </row>
    <row r="4" spans="1:7">
      <c r="A4" s="1441" t="s">
        <v>192</v>
      </c>
      <c r="B4" s="1441"/>
      <c r="C4" s="1441"/>
      <c r="D4" s="1441"/>
      <c r="E4" s="1441"/>
      <c r="F4" s="1441"/>
      <c r="G4" s="1441"/>
    </row>
    <row r="5" spans="1:7">
      <c r="A5" s="995"/>
      <c r="B5" s="995"/>
      <c r="C5" s="995"/>
      <c r="D5" s="995"/>
      <c r="E5" s="995"/>
      <c r="F5" s="998" t="s">
        <v>574</v>
      </c>
      <c r="G5" s="995"/>
    </row>
    <row r="6" spans="1:7" ht="30">
      <c r="A6" s="999" t="s">
        <v>130</v>
      </c>
      <c r="B6" s="999" t="s">
        <v>575</v>
      </c>
      <c r="C6" s="1000" t="s">
        <v>576</v>
      </c>
      <c r="D6" s="999" t="s">
        <v>577</v>
      </c>
      <c r="E6" s="1000" t="s">
        <v>578</v>
      </c>
      <c r="F6" s="1000" t="s">
        <v>579</v>
      </c>
      <c r="G6" s="999" t="s">
        <v>376</v>
      </c>
    </row>
    <row r="7" spans="1:7">
      <c r="A7" s="1001">
        <v>1</v>
      </c>
      <c r="B7" s="1002" t="s">
        <v>144</v>
      </c>
      <c r="C7" s="1003">
        <v>123</v>
      </c>
      <c r="D7" s="1003">
        <v>29</v>
      </c>
      <c r="E7" s="1003">
        <v>37</v>
      </c>
      <c r="F7" s="1003"/>
      <c r="G7" s="1004">
        <v>189</v>
      </c>
    </row>
    <row r="8" spans="1:7">
      <c r="A8" s="1001">
        <v>2</v>
      </c>
      <c r="B8" s="1002" t="s">
        <v>580</v>
      </c>
      <c r="C8" s="1005">
        <v>1223957.8899999999</v>
      </c>
      <c r="D8" s="135">
        <v>62349.77</v>
      </c>
      <c r="E8" s="135">
        <v>23601.16</v>
      </c>
      <c r="F8" s="1007">
        <v>0</v>
      </c>
      <c r="G8" s="1008">
        <f>F8+E8+D8+C8</f>
        <v>1309908.8199999998</v>
      </c>
    </row>
    <row r="9" spans="1:7">
      <c r="A9" s="1001">
        <v>3</v>
      </c>
      <c r="B9" s="1002" t="s">
        <v>581</v>
      </c>
      <c r="C9" s="1005">
        <v>323296.89</v>
      </c>
      <c r="D9" s="135">
        <v>18331.38</v>
      </c>
      <c r="E9" s="135">
        <v>30099.599999999999</v>
      </c>
      <c r="F9" s="1007">
        <v>51533.45</v>
      </c>
      <c r="G9" s="1008">
        <f>F9+E9+D9+C9</f>
        <v>423261.32</v>
      </c>
    </row>
    <row r="10" spans="1:7">
      <c r="A10" s="1001">
        <v>4</v>
      </c>
      <c r="B10" s="1002" t="s">
        <v>582</v>
      </c>
      <c r="C10" s="1007">
        <f>C9/C8%</f>
        <v>26.41405334623073</v>
      </c>
      <c r="D10" s="1007">
        <f t="shared" ref="D10:G10" si="0">D9/D8%</f>
        <v>29.40087830315974</v>
      </c>
      <c r="E10" s="1007">
        <f t="shared" si="0"/>
        <v>127.53440932564331</v>
      </c>
      <c r="F10" s="1007">
        <v>0</v>
      </c>
      <c r="G10" s="1007">
        <f t="shared" si="0"/>
        <v>32.312273460377192</v>
      </c>
    </row>
    <row r="11" spans="1:7">
      <c r="A11" s="1001">
        <v>5</v>
      </c>
      <c r="B11" s="1002" t="s">
        <v>583</v>
      </c>
      <c r="C11" s="1009">
        <v>88815.14</v>
      </c>
      <c r="D11" s="517">
        <v>11378</v>
      </c>
      <c r="E11" s="354">
        <v>11742.59</v>
      </c>
      <c r="F11" s="1007">
        <v>51533.45</v>
      </c>
      <c r="G11" s="1010">
        <f>F11+E11+D11+C11</f>
        <v>163469.18</v>
      </c>
    </row>
    <row r="12" spans="1:7">
      <c r="A12" s="1001"/>
      <c r="B12" s="1002" t="s">
        <v>584</v>
      </c>
      <c r="C12" s="1009">
        <f>C11/C9%</f>
        <v>27.47169637171579</v>
      </c>
      <c r="D12" s="1009">
        <f t="shared" ref="D12:G12" si="1">D11/D9%</f>
        <v>62.068431291043005</v>
      </c>
      <c r="E12" s="1009">
        <f t="shared" si="1"/>
        <v>39.012445348110944</v>
      </c>
      <c r="F12" s="1009">
        <f t="shared" si="1"/>
        <v>100</v>
      </c>
      <c r="G12" s="1009">
        <f t="shared" si="1"/>
        <v>38.621336813862413</v>
      </c>
    </row>
    <row r="13" spans="1:7">
      <c r="A13" s="1001">
        <v>6</v>
      </c>
      <c r="B13" s="1002" t="s">
        <v>585</v>
      </c>
      <c r="C13" s="1011">
        <v>14445.4</v>
      </c>
      <c r="D13" s="1012">
        <v>2902.5</v>
      </c>
      <c r="E13" s="1012">
        <v>8173.6</v>
      </c>
      <c r="F13" s="1012">
        <v>43028.3</v>
      </c>
      <c r="G13" s="1010">
        <f>F13+E13+D13+C13</f>
        <v>68549.8</v>
      </c>
    </row>
    <row r="14" spans="1:7">
      <c r="A14" s="1001"/>
      <c r="B14" s="1002" t="s">
        <v>586</v>
      </c>
      <c r="C14" s="1009">
        <f>C13/C9%</f>
        <v>4.4681530960597851</v>
      </c>
      <c r="D14" s="1009">
        <f t="shared" ref="D14:G14" si="2">D13/D9%</f>
        <v>15.833505169823548</v>
      </c>
      <c r="E14" s="1009">
        <f t="shared" si="2"/>
        <v>27.155178141902219</v>
      </c>
      <c r="F14" s="1009">
        <f t="shared" si="2"/>
        <v>83.495865306902616</v>
      </c>
      <c r="G14" s="1009">
        <f t="shared" si="2"/>
        <v>16.195621182677407</v>
      </c>
    </row>
    <row r="15" spans="1:7">
      <c r="A15" s="1001">
        <v>7</v>
      </c>
      <c r="B15" s="1002" t="s">
        <v>587</v>
      </c>
      <c r="C15" s="1013">
        <v>11276.5</v>
      </c>
      <c r="D15" s="1013">
        <v>257.52</v>
      </c>
      <c r="E15" s="1013">
        <v>328.59</v>
      </c>
      <c r="F15" s="1013">
        <v>1697.02</v>
      </c>
      <c r="G15" s="1010">
        <f>F15+E15+D15+C15</f>
        <v>13559.630000000001</v>
      </c>
    </row>
    <row r="16" spans="1:7">
      <c r="A16" s="1001"/>
      <c r="B16" s="1002" t="s">
        <v>586</v>
      </c>
      <c r="C16" s="1009">
        <f>C15/C9%</f>
        <v>3.4879704534120322</v>
      </c>
      <c r="D16" s="1009">
        <f t="shared" ref="D16:G16" si="3">D15/D9%</f>
        <v>1.4048042209588147</v>
      </c>
      <c r="E16" s="1009">
        <f t="shared" si="3"/>
        <v>1.09167563688554</v>
      </c>
      <c r="F16" s="1009">
        <f t="shared" si="3"/>
        <v>3.2930455849550149</v>
      </c>
      <c r="G16" s="1009">
        <f t="shared" si="3"/>
        <v>3.2036071710970426</v>
      </c>
    </row>
    <row r="17" spans="1:7">
      <c r="A17" s="1001">
        <v>8</v>
      </c>
      <c r="B17" s="1002" t="s">
        <v>588</v>
      </c>
      <c r="C17" s="1014">
        <v>54722.34</v>
      </c>
      <c r="D17" s="1014">
        <v>8048.12</v>
      </c>
      <c r="E17" s="1014">
        <v>3990.59</v>
      </c>
      <c r="F17" s="1014">
        <v>0</v>
      </c>
      <c r="G17" s="1010">
        <f>F17+E17+D17+C17</f>
        <v>66761.049999999988</v>
      </c>
    </row>
    <row r="18" spans="1:7">
      <c r="A18" s="1001"/>
      <c r="B18" s="1002" t="s">
        <v>586</v>
      </c>
      <c r="C18" s="1009">
        <f>C17/C9%</f>
        <v>16.926342842332939</v>
      </c>
      <c r="D18" s="1009">
        <f t="shared" ref="D18:G18" si="4">D17/D9%</f>
        <v>43.903514083500532</v>
      </c>
      <c r="E18" s="1009">
        <f t="shared" si="4"/>
        <v>13.257950271764409</v>
      </c>
      <c r="F18" s="1009">
        <f t="shared" si="4"/>
        <v>0</v>
      </c>
      <c r="G18" s="1009">
        <f t="shared" si="4"/>
        <v>15.773009922097296</v>
      </c>
    </row>
    <row r="19" spans="1:7">
      <c r="A19" s="1001">
        <v>9</v>
      </c>
      <c r="B19" s="1002" t="s">
        <v>589</v>
      </c>
      <c r="C19" s="1012">
        <v>40.44</v>
      </c>
      <c r="D19" s="1015">
        <v>60.612091294972807</v>
      </c>
      <c r="E19" s="1015">
        <v>31.31</v>
      </c>
      <c r="F19" s="1016">
        <v>0</v>
      </c>
      <c r="G19" s="1015">
        <v>41.77</v>
      </c>
    </row>
    <row r="20" spans="1:7">
      <c r="A20" s="1001"/>
      <c r="B20" s="1002" t="s">
        <v>583</v>
      </c>
      <c r="C20" s="1012"/>
      <c r="D20" s="1015"/>
      <c r="E20" s="1015"/>
      <c r="F20" s="1016"/>
      <c r="G20" s="1015"/>
    </row>
    <row r="21" spans="1:7">
      <c r="A21" s="1001">
        <v>10</v>
      </c>
      <c r="B21" s="1002" t="s">
        <v>590</v>
      </c>
      <c r="C21" s="1015">
        <v>59.56</v>
      </c>
      <c r="D21" s="1015">
        <v>41.000013561344744</v>
      </c>
      <c r="E21" s="1015">
        <v>68.69</v>
      </c>
      <c r="F21" s="1015">
        <v>0</v>
      </c>
      <c r="G21" s="1015">
        <v>56.41</v>
      </c>
    </row>
    <row r="22" spans="1:7">
      <c r="A22" s="1001"/>
      <c r="B22" s="1002" t="s">
        <v>591</v>
      </c>
      <c r="C22" s="1015"/>
      <c r="D22" s="1015"/>
      <c r="E22" s="1015"/>
      <c r="F22" s="1015"/>
      <c r="G22" s="1015"/>
    </row>
    <row r="24" spans="1:7" ht="18">
      <c r="A24" s="995"/>
      <c r="B24" s="995"/>
      <c r="C24" s="996" t="s">
        <v>147</v>
      </c>
      <c r="D24" s="995"/>
      <c r="E24" s="995"/>
      <c r="F24" s="995"/>
      <c r="G24" s="995"/>
    </row>
    <row r="25" spans="1:7">
      <c r="A25" s="995"/>
      <c r="B25" s="997" t="s">
        <v>596</v>
      </c>
      <c r="C25" s="995"/>
      <c r="D25" s="995"/>
      <c r="E25" s="995"/>
      <c r="F25" s="995"/>
      <c r="G25" s="995"/>
    </row>
    <row r="26" spans="1:7">
      <c r="A26" s="1441" t="s">
        <v>573</v>
      </c>
      <c r="B26" s="1441"/>
      <c r="C26" s="1441"/>
      <c r="D26" s="1441"/>
      <c r="E26" s="1441"/>
      <c r="F26" s="1441"/>
      <c r="G26" s="1441"/>
    </row>
    <row r="27" spans="1:7">
      <c r="A27" s="995"/>
      <c r="B27" s="995"/>
      <c r="C27" s="995"/>
      <c r="D27" s="995"/>
      <c r="E27" s="995"/>
      <c r="F27" s="998" t="s">
        <v>574</v>
      </c>
      <c r="G27" s="995"/>
    </row>
    <row r="28" spans="1:7" ht="30">
      <c r="A28" s="999" t="s">
        <v>130</v>
      </c>
      <c r="B28" s="999" t="s">
        <v>575</v>
      </c>
      <c r="C28" s="1000" t="s">
        <v>576</v>
      </c>
      <c r="D28" s="999" t="s">
        <v>577</v>
      </c>
      <c r="E28" s="1000" t="s">
        <v>578</v>
      </c>
      <c r="F28" s="1000" t="s">
        <v>579</v>
      </c>
      <c r="G28" s="999" t="s">
        <v>376</v>
      </c>
    </row>
    <row r="29" spans="1:7">
      <c r="A29" s="1001">
        <v>1</v>
      </c>
      <c r="B29" s="1002" t="s">
        <v>144</v>
      </c>
      <c r="C29" s="1003">
        <v>123</v>
      </c>
      <c r="D29" s="1003">
        <v>29</v>
      </c>
      <c r="E29" s="1003">
        <v>37</v>
      </c>
      <c r="F29" s="1003"/>
      <c r="G29" s="1004">
        <v>189</v>
      </c>
    </row>
    <row r="30" spans="1:7">
      <c r="A30" s="1001">
        <v>2</v>
      </c>
      <c r="B30" s="1002" t="s">
        <v>580</v>
      </c>
      <c r="C30" s="1005">
        <v>1265763.92</v>
      </c>
      <c r="D30" s="1006">
        <v>63375.66</v>
      </c>
      <c r="E30" s="1006">
        <v>24473.73</v>
      </c>
      <c r="F30" s="1007">
        <v>0</v>
      </c>
      <c r="G30" s="1008">
        <v>1353613.3099999998</v>
      </c>
    </row>
    <row r="31" spans="1:7">
      <c r="A31" s="1001">
        <v>3</v>
      </c>
      <c r="B31" s="1002" t="s">
        <v>581</v>
      </c>
      <c r="C31" s="1005">
        <v>323056.94</v>
      </c>
      <c r="D31" s="1006">
        <v>17833.259999999998</v>
      </c>
      <c r="E31" s="1006">
        <v>29773.48</v>
      </c>
      <c r="F31" s="1007">
        <v>61297.83</v>
      </c>
      <c r="G31" s="1008">
        <v>431961.51</v>
      </c>
    </row>
    <row r="32" spans="1:7">
      <c r="A32" s="1001">
        <v>4</v>
      </c>
      <c r="B32" s="1002" t="s">
        <v>582</v>
      </c>
      <c r="C32" s="1007">
        <v>25.522685146531906</v>
      </c>
      <c r="D32" s="1007">
        <v>28.138973227261062</v>
      </c>
      <c r="E32" s="1007">
        <v>121.6548519575888</v>
      </c>
      <c r="F32" s="1007">
        <v>0</v>
      </c>
      <c r="G32" s="1007">
        <v>31.91173629934239</v>
      </c>
    </row>
    <row r="33" spans="1:7">
      <c r="A33" s="1001">
        <v>5</v>
      </c>
      <c r="B33" s="1002" t="s">
        <v>583</v>
      </c>
      <c r="C33" s="1009">
        <v>92215.970000000016</v>
      </c>
      <c r="D33" s="1009">
        <v>11321.23</v>
      </c>
      <c r="E33" s="1009">
        <v>11614.83</v>
      </c>
      <c r="F33" s="1009">
        <v>54080.19</v>
      </c>
      <c r="G33" s="1010">
        <v>169232.22000000003</v>
      </c>
    </row>
    <row r="34" spans="1:7">
      <c r="A34" s="1001"/>
      <c r="B34" s="1002" t="s">
        <v>584</v>
      </c>
      <c r="C34" s="1009">
        <v>28.544803897418213</v>
      </c>
      <c r="D34" s="1009">
        <v>63.483793765133242</v>
      </c>
      <c r="E34" s="1009">
        <v>39.010656463403002</v>
      </c>
      <c r="F34" s="1010">
        <v>88.225292804003018</v>
      </c>
      <c r="G34" s="1010">
        <v>39.177615616724751</v>
      </c>
    </row>
    <row r="35" spans="1:7">
      <c r="A35" s="1001">
        <v>6</v>
      </c>
      <c r="B35" s="1002" t="s">
        <v>585</v>
      </c>
      <c r="C35" s="1011">
        <v>16722.669999999998</v>
      </c>
      <c r="D35" s="1012">
        <v>2970.94</v>
      </c>
      <c r="E35" s="1012">
        <v>7295.65</v>
      </c>
      <c r="F35" s="1012">
        <v>52383.17</v>
      </c>
      <c r="G35" s="1010">
        <v>79372.429999999993</v>
      </c>
    </row>
    <row r="36" spans="1:7">
      <c r="A36" s="1001"/>
      <c r="B36" s="1002" t="s">
        <v>586</v>
      </c>
      <c r="C36" s="1009">
        <v>5.1763846955276671</v>
      </c>
      <c r="D36" s="1009">
        <v>16.659545142054792</v>
      </c>
      <c r="E36" s="1009">
        <v>24.50385376516282</v>
      </c>
      <c r="F36" s="1009">
        <v>85.456809808764845</v>
      </c>
      <c r="G36" s="1010">
        <v>18.374884836382758</v>
      </c>
    </row>
    <row r="37" spans="1:7">
      <c r="A37" s="1001">
        <v>7</v>
      </c>
      <c r="B37" s="1002" t="s">
        <v>587</v>
      </c>
      <c r="C37" s="1013">
        <v>13727.46</v>
      </c>
      <c r="D37" s="1013">
        <v>251.36</v>
      </c>
      <c r="E37" s="1013">
        <v>328.59</v>
      </c>
      <c r="F37" s="1013">
        <v>1697.02</v>
      </c>
      <c r="G37" s="1010">
        <v>16004.43</v>
      </c>
    </row>
    <row r="38" spans="1:7">
      <c r="A38" s="1001"/>
      <c r="B38" s="1002" t="s">
        <v>586</v>
      </c>
      <c r="C38" s="1009">
        <v>4.2492385398066359</v>
      </c>
      <c r="D38" s="1009">
        <v>1.409501123182189</v>
      </c>
      <c r="E38" s="1009">
        <v>1.1036331661599517</v>
      </c>
      <c r="F38" s="1009">
        <v>2.7684829952381675</v>
      </c>
      <c r="G38" s="1010">
        <v>3.7050592771564301</v>
      </c>
    </row>
    <row r="39" spans="1:7">
      <c r="A39" s="1001">
        <v>8</v>
      </c>
      <c r="B39" s="1002" t="s">
        <v>588</v>
      </c>
      <c r="C39" s="1014">
        <v>61765.840000100005</v>
      </c>
      <c r="D39" s="1014">
        <v>8098.93</v>
      </c>
      <c r="E39" s="1014">
        <v>3990.59</v>
      </c>
      <c r="F39" s="1014">
        <v>0</v>
      </c>
      <c r="G39" s="1010">
        <v>73855.360000100001</v>
      </c>
    </row>
    <row r="40" spans="1:7">
      <c r="A40" s="1001"/>
      <c r="B40" s="1002" t="s">
        <v>586</v>
      </c>
      <c r="C40" s="1009">
        <v>19.119180662114861</v>
      </c>
      <c r="D40" s="1009">
        <v>45.414747499896265</v>
      </c>
      <c r="E40" s="1009">
        <v>13.403169532080227</v>
      </c>
      <c r="F40" s="1009">
        <v>0</v>
      </c>
      <c r="G40" s="1010">
        <v>17.097671503208701</v>
      </c>
    </row>
    <row r="41" spans="1:7">
      <c r="A41" s="1001">
        <v>9</v>
      </c>
      <c r="B41" s="1002" t="s">
        <v>589</v>
      </c>
      <c r="C41" s="1012">
        <v>37.123028955220555</v>
      </c>
      <c r="D41" s="1015">
        <v>60.612091294972807</v>
      </c>
      <c r="E41" s="1015">
        <v>30.882725479208091</v>
      </c>
      <c r="F41" s="1016"/>
      <c r="G41" s="1015">
        <v>39.021795374503384</v>
      </c>
    </row>
    <row r="42" spans="1:7">
      <c r="A42" s="1001"/>
      <c r="B42" s="1002" t="s">
        <v>583</v>
      </c>
      <c r="C42" s="1012"/>
      <c r="D42" s="1015"/>
      <c r="E42" s="1015"/>
      <c r="F42" s="1016"/>
      <c r="G42" s="1015"/>
    </row>
    <row r="43" spans="1:7">
      <c r="A43" s="1001">
        <v>10</v>
      </c>
      <c r="B43" s="1002" t="s">
        <v>590</v>
      </c>
      <c r="C43" s="1015">
        <v>62.876971044779452</v>
      </c>
      <c r="D43" s="1015">
        <v>41.000013561344744</v>
      </c>
      <c r="E43" s="1015">
        <v>69.117274520791923</v>
      </c>
      <c r="F43" s="1015"/>
      <c r="G43" s="1015">
        <v>61.148478191196979</v>
      </c>
    </row>
    <row r="44" spans="1:7">
      <c r="A44" s="1001"/>
      <c r="B44" s="1002" t="s">
        <v>591</v>
      </c>
      <c r="C44" s="1015"/>
      <c r="D44" s="1015"/>
      <c r="E44" s="1015"/>
      <c r="F44" s="1015"/>
      <c r="G44" s="1015"/>
    </row>
    <row r="45" spans="1:7">
      <c r="A45" s="1442" t="s">
        <v>592</v>
      </c>
      <c r="B45" s="1442"/>
      <c r="C45" s="1442"/>
      <c r="D45" s="1442"/>
      <c r="E45" s="1442"/>
      <c r="F45" s="1017"/>
      <c r="G45" s="1017"/>
    </row>
    <row r="46" spans="1:7">
      <c r="A46" s="1018"/>
      <c r="B46" s="997"/>
      <c r="C46" s="1019"/>
      <c r="D46" s="1019"/>
      <c r="E46" s="1019"/>
      <c r="F46" s="1019"/>
      <c r="G46" s="1019"/>
    </row>
  </sheetData>
  <mergeCells count="4">
    <mergeCell ref="A26:G26"/>
    <mergeCell ref="A45:E45"/>
    <mergeCell ref="A1:G1"/>
    <mergeCell ref="A4:G4"/>
  </mergeCells>
  <printOptions gridLines="1"/>
  <pageMargins left="0.7" right="0.7" top="0.75" bottom="0.75" header="0.3" footer="0.3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activeCell="J14" sqref="J14"/>
    </sheetView>
  </sheetViews>
  <sheetFormatPr defaultRowHeight="15"/>
  <cols>
    <col min="1" max="1" width="7" bestFit="1" customWidth="1"/>
    <col min="2" max="2" width="21.7109375" bestFit="1" customWidth="1"/>
    <col min="3" max="3" width="22.7109375" bestFit="1" customWidth="1"/>
    <col min="4" max="5" width="9.5703125" bestFit="1" customWidth="1"/>
    <col min="6" max="6" width="12.7109375" bestFit="1" customWidth="1"/>
    <col min="7" max="7" width="11.85546875" bestFit="1" customWidth="1"/>
  </cols>
  <sheetData>
    <row r="1" spans="1:8" ht="15.75">
      <c r="A1" s="1443" t="s">
        <v>628</v>
      </c>
      <c r="B1" s="1443"/>
      <c r="C1" s="1443"/>
      <c r="D1" s="1443"/>
      <c r="E1" s="1443"/>
      <c r="F1" s="1443"/>
      <c r="G1" s="1443"/>
      <c r="H1" s="741"/>
    </row>
    <row r="2" spans="1:8" ht="18">
      <c r="A2" s="995"/>
      <c r="B2" s="995"/>
      <c r="C2" s="996" t="s">
        <v>147</v>
      </c>
      <c r="D2" s="995"/>
      <c r="E2" s="995"/>
      <c r="F2" s="995"/>
      <c r="G2" s="995"/>
      <c r="H2" s="741"/>
    </row>
    <row r="3" spans="1:8">
      <c r="A3" s="995"/>
      <c r="B3" s="997" t="s">
        <v>572</v>
      </c>
      <c r="C3" s="995"/>
      <c r="D3" s="995"/>
      <c r="E3" s="995"/>
      <c r="F3" s="995"/>
      <c r="G3" s="995"/>
      <c r="H3" s="741"/>
    </row>
    <row r="4" spans="1:8">
      <c r="A4" s="1441" t="s">
        <v>573</v>
      </c>
      <c r="B4" s="1441"/>
      <c r="C4" s="1441"/>
      <c r="D4" s="1441"/>
      <c r="E4" s="1441"/>
      <c r="F4" s="1441"/>
      <c r="G4" s="1441"/>
      <c r="H4" s="741"/>
    </row>
    <row r="5" spans="1:8">
      <c r="A5" s="995"/>
      <c r="B5" s="995"/>
      <c r="C5" s="995"/>
      <c r="D5" s="995"/>
      <c r="E5" s="995"/>
      <c r="F5" s="998" t="s">
        <v>574</v>
      </c>
      <c r="G5" s="995"/>
      <c r="H5" s="741"/>
    </row>
    <row r="6" spans="1:8" ht="30">
      <c r="A6" s="999" t="s">
        <v>130</v>
      </c>
      <c r="B6" s="999" t="s">
        <v>575</v>
      </c>
      <c r="C6" s="1000" t="s">
        <v>576</v>
      </c>
      <c r="D6" s="999" t="s">
        <v>577</v>
      </c>
      <c r="E6" s="1000" t="s">
        <v>578</v>
      </c>
      <c r="F6" s="1000" t="s">
        <v>579</v>
      </c>
      <c r="G6" s="999" t="s">
        <v>376</v>
      </c>
      <c r="H6" s="741"/>
    </row>
    <row r="7" spans="1:8">
      <c r="A7" s="1001">
        <v>1</v>
      </c>
      <c r="B7" s="1002" t="s">
        <v>144</v>
      </c>
      <c r="C7" s="1714">
        <v>123</v>
      </c>
      <c r="D7" s="1714">
        <v>29</v>
      </c>
      <c r="E7" s="1714">
        <v>37</v>
      </c>
      <c r="F7" s="1714"/>
      <c r="G7" s="1004">
        <v>189</v>
      </c>
      <c r="H7" s="741"/>
    </row>
    <row r="8" spans="1:8">
      <c r="A8" s="1001">
        <v>2</v>
      </c>
      <c r="B8" s="1002" t="s">
        <v>580</v>
      </c>
      <c r="C8" s="1715">
        <v>1265763.92</v>
      </c>
      <c r="D8" s="1006">
        <v>63375.66</v>
      </c>
      <c r="E8" s="1006">
        <v>24473.73</v>
      </c>
      <c r="F8" s="1008">
        <v>0</v>
      </c>
      <c r="G8" s="1008">
        <v>1353613.3099999998</v>
      </c>
      <c r="H8" s="741"/>
    </row>
    <row r="9" spans="1:8">
      <c r="A9" s="1001">
        <v>3</v>
      </c>
      <c r="B9" s="1002" t="s">
        <v>581</v>
      </c>
      <c r="C9" s="1715">
        <v>323056.94</v>
      </c>
      <c r="D9" s="1006">
        <v>17833.259999999998</v>
      </c>
      <c r="E9" s="1006">
        <v>29773.48</v>
      </c>
      <c r="F9" s="1008">
        <v>61297.83</v>
      </c>
      <c r="G9" s="1008">
        <v>431961.51</v>
      </c>
      <c r="H9" s="741"/>
    </row>
    <row r="10" spans="1:8">
      <c r="A10" s="1001">
        <v>4</v>
      </c>
      <c r="B10" s="1002" t="s">
        <v>582</v>
      </c>
      <c r="C10" s="1008">
        <v>25.522685146531906</v>
      </c>
      <c r="D10" s="1008">
        <v>28.138973227261062</v>
      </c>
      <c r="E10" s="1008">
        <v>121.6548519575888</v>
      </c>
      <c r="F10" s="1008">
        <v>0</v>
      </c>
      <c r="G10" s="1008">
        <v>31.91173629934239</v>
      </c>
      <c r="H10" s="741"/>
    </row>
    <row r="11" spans="1:8">
      <c r="A11" s="1001">
        <v>5</v>
      </c>
      <c r="B11" s="1002" t="s">
        <v>583</v>
      </c>
      <c r="C11" s="1010">
        <v>92215.970000000016</v>
      </c>
      <c r="D11" s="1010">
        <v>11321.23</v>
      </c>
      <c r="E11" s="1010">
        <v>11614.83</v>
      </c>
      <c r="F11" s="1010">
        <v>54080.19</v>
      </c>
      <c r="G11" s="1010">
        <v>169232.22000000003</v>
      </c>
      <c r="H11" s="741"/>
    </row>
    <row r="12" spans="1:8">
      <c r="A12" s="1001"/>
      <c r="B12" s="1002" t="s">
        <v>584</v>
      </c>
      <c r="C12" s="1010">
        <v>28.544803897418213</v>
      </c>
      <c r="D12" s="1010">
        <v>63.483793765133242</v>
      </c>
      <c r="E12" s="1010">
        <v>39.010656463403002</v>
      </c>
      <c r="F12" s="1010">
        <v>88.225292804003018</v>
      </c>
      <c r="G12" s="1010">
        <v>39.177615616724751</v>
      </c>
      <c r="H12" s="741"/>
    </row>
    <row r="13" spans="1:8">
      <c r="A13" s="1001">
        <v>6</v>
      </c>
      <c r="B13" s="1002" t="s">
        <v>585</v>
      </c>
      <c r="C13" s="1716">
        <v>16722.669999999998</v>
      </c>
      <c r="D13" s="1717">
        <v>2970.94</v>
      </c>
      <c r="E13" s="1717">
        <v>7295.65</v>
      </c>
      <c r="F13" s="1717">
        <v>52383.17</v>
      </c>
      <c r="G13" s="1010">
        <v>79372.429999999993</v>
      </c>
      <c r="H13" s="741"/>
    </row>
    <row r="14" spans="1:8">
      <c r="A14" s="1001"/>
      <c r="B14" s="1002" t="s">
        <v>586</v>
      </c>
      <c r="C14" s="1010">
        <v>5.1763846955276671</v>
      </c>
      <c r="D14" s="1010">
        <v>16.659545142054792</v>
      </c>
      <c r="E14" s="1010">
        <v>24.50385376516282</v>
      </c>
      <c r="F14" s="1010">
        <v>85.456809808764845</v>
      </c>
      <c r="G14" s="1010">
        <v>18.374884836382758</v>
      </c>
      <c r="H14" s="741"/>
    </row>
    <row r="15" spans="1:8">
      <c r="A15" s="1001">
        <v>7</v>
      </c>
      <c r="B15" s="1002" t="s">
        <v>587</v>
      </c>
      <c r="C15" s="1718">
        <v>13727.46</v>
      </c>
      <c r="D15" s="1718">
        <v>251.36</v>
      </c>
      <c r="E15" s="1718">
        <v>328.59</v>
      </c>
      <c r="F15" s="1718">
        <v>1697.02</v>
      </c>
      <c r="G15" s="1010">
        <v>16004.43</v>
      </c>
      <c r="H15" s="741"/>
    </row>
    <row r="16" spans="1:8">
      <c r="A16" s="1001"/>
      <c r="B16" s="1002" t="s">
        <v>586</v>
      </c>
      <c r="C16" s="1010">
        <v>4.2492385398066359</v>
      </c>
      <c r="D16" s="1010">
        <v>1.409501123182189</v>
      </c>
      <c r="E16" s="1010">
        <v>1.1036331661599517</v>
      </c>
      <c r="F16" s="1010">
        <v>2.7684829952381675</v>
      </c>
      <c r="G16" s="1010">
        <v>3.7050592771564301</v>
      </c>
      <c r="H16" s="741"/>
    </row>
    <row r="17" spans="1:8">
      <c r="A17" s="1001">
        <v>8</v>
      </c>
      <c r="B17" s="1002" t="s">
        <v>588</v>
      </c>
      <c r="C17" s="1719">
        <v>61765.840000100005</v>
      </c>
      <c r="D17" s="1719">
        <v>8098.93</v>
      </c>
      <c r="E17" s="1719">
        <v>3990.59</v>
      </c>
      <c r="F17" s="1719">
        <v>0</v>
      </c>
      <c r="G17" s="1010">
        <v>73855.360000100001</v>
      </c>
      <c r="H17" s="741"/>
    </row>
    <row r="18" spans="1:8">
      <c r="A18" s="1001"/>
      <c r="B18" s="1002" t="s">
        <v>586</v>
      </c>
      <c r="C18" s="1010">
        <v>19.119180662114861</v>
      </c>
      <c r="D18" s="1010">
        <v>45.414747499896265</v>
      </c>
      <c r="E18" s="1010">
        <v>13.403169532080227</v>
      </c>
      <c r="F18" s="1010">
        <v>0</v>
      </c>
      <c r="G18" s="1010">
        <v>17.097671503208701</v>
      </c>
      <c r="H18" s="741"/>
    </row>
    <row r="19" spans="1:8">
      <c r="A19" s="1001">
        <v>9</v>
      </c>
      <c r="B19" s="1002" t="s">
        <v>589</v>
      </c>
      <c r="C19" s="1717">
        <v>37.123028955220555</v>
      </c>
      <c r="D19" s="1720">
        <v>60.612091294972807</v>
      </c>
      <c r="E19" s="1720">
        <v>30.882725479208091</v>
      </c>
      <c r="F19" s="1721"/>
      <c r="G19" s="1720">
        <v>39.021795374503384</v>
      </c>
      <c r="H19" s="741"/>
    </row>
    <row r="20" spans="1:8">
      <c r="A20" s="1001"/>
      <c r="B20" s="1002" t="s">
        <v>583</v>
      </c>
      <c r="C20" s="1717"/>
      <c r="D20" s="1720"/>
      <c r="E20" s="1720"/>
      <c r="F20" s="1721"/>
      <c r="G20" s="1720"/>
      <c r="H20" s="741"/>
    </row>
    <row r="21" spans="1:8">
      <c r="A21" s="1001">
        <v>10</v>
      </c>
      <c r="B21" s="1002" t="s">
        <v>590</v>
      </c>
      <c r="C21" s="1720">
        <v>62.876971044779452</v>
      </c>
      <c r="D21" s="1720">
        <v>41.000013561344744</v>
      </c>
      <c r="E21" s="1720">
        <v>69.117274520791923</v>
      </c>
      <c r="F21" s="1720"/>
      <c r="G21" s="1720">
        <v>61.148478191196979</v>
      </c>
      <c r="H21" s="741"/>
    </row>
    <row r="22" spans="1:8">
      <c r="A22" s="1001"/>
      <c r="B22" s="1002" t="s">
        <v>591</v>
      </c>
      <c r="C22" s="1015"/>
      <c r="D22" s="1015"/>
      <c r="E22" s="1015"/>
      <c r="F22" s="1015"/>
      <c r="G22" s="1015"/>
      <c r="H22" s="741"/>
    </row>
    <row r="23" spans="1:8">
      <c r="A23" s="1442" t="s">
        <v>592</v>
      </c>
      <c r="B23" s="1442"/>
      <c r="C23" s="1442"/>
      <c r="D23" s="1442"/>
      <c r="E23" s="1442"/>
      <c r="F23" s="1017"/>
      <c r="G23" s="1017"/>
      <c r="H23" s="741"/>
    </row>
    <row r="24" spans="1:8">
      <c r="A24" s="1018"/>
      <c r="B24" s="997" t="s">
        <v>597</v>
      </c>
      <c r="C24" s="1019"/>
      <c r="D24" s="1019"/>
      <c r="E24" s="1019"/>
      <c r="F24" s="1019"/>
      <c r="G24" s="1019"/>
      <c r="H24" s="741"/>
    </row>
    <row r="25" spans="1:8">
      <c r="A25" s="1017"/>
      <c r="B25" s="1053"/>
      <c r="C25" s="1441" t="s">
        <v>598</v>
      </c>
      <c r="D25" s="1441"/>
      <c r="E25" s="1441"/>
      <c r="F25" s="995"/>
      <c r="G25" s="995"/>
      <c r="H25" s="741"/>
    </row>
    <row r="26" spans="1:8">
      <c r="A26" s="1017"/>
      <c r="B26" s="1017"/>
      <c r="C26" s="995"/>
      <c r="D26" s="995"/>
      <c r="E26" s="995"/>
      <c r="F26" s="998" t="s">
        <v>574</v>
      </c>
      <c r="G26" s="995"/>
      <c r="H26" s="741"/>
    </row>
    <row r="27" spans="1:8" ht="30">
      <c r="A27" s="1054" t="s">
        <v>130</v>
      </c>
      <c r="B27" s="1055" t="s">
        <v>575</v>
      </c>
      <c r="C27" s="1000" t="s">
        <v>576</v>
      </c>
      <c r="D27" s="999" t="s">
        <v>577</v>
      </c>
      <c r="E27" s="1000" t="s">
        <v>578</v>
      </c>
      <c r="F27" s="1000" t="s">
        <v>579</v>
      </c>
      <c r="G27" s="999" t="s">
        <v>376</v>
      </c>
      <c r="H27" s="741"/>
    </row>
    <row r="28" spans="1:8">
      <c r="A28" s="1001">
        <v>1</v>
      </c>
      <c r="B28" s="1002" t="s">
        <v>144</v>
      </c>
      <c r="C28" s="1003">
        <v>123</v>
      </c>
      <c r="D28" s="1003">
        <v>29</v>
      </c>
      <c r="E28" s="1003">
        <v>37</v>
      </c>
      <c r="F28" s="1003">
        <v>0</v>
      </c>
      <c r="G28" s="1004">
        <v>189</v>
      </c>
      <c r="H28" s="741"/>
    </row>
    <row r="29" spans="1:8">
      <c r="A29" s="1001">
        <v>2</v>
      </c>
      <c r="B29" s="1002" t="s">
        <v>580</v>
      </c>
      <c r="C29" s="1005">
        <v>1054673.93</v>
      </c>
      <c r="D29" s="1006">
        <v>54642.39</v>
      </c>
      <c r="E29" s="1006">
        <v>20542.16</v>
      </c>
      <c r="F29" s="1007">
        <v>0</v>
      </c>
      <c r="G29" s="1008">
        <v>1129858.4799999997</v>
      </c>
      <c r="H29" s="741"/>
    </row>
    <row r="30" spans="1:8">
      <c r="A30" s="1001">
        <v>3</v>
      </c>
      <c r="B30" s="1002" t="s">
        <v>581</v>
      </c>
      <c r="C30" s="1005">
        <v>315269.90000000002</v>
      </c>
      <c r="D30" s="1006">
        <v>17029.95</v>
      </c>
      <c r="E30" s="1006">
        <v>29876.74</v>
      </c>
      <c r="F30" s="1007">
        <v>57159.87</v>
      </c>
      <c r="G30" s="1008">
        <v>419336.46</v>
      </c>
      <c r="H30" s="741"/>
    </row>
    <row r="31" spans="1:8">
      <c r="A31" s="1001">
        <v>4</v>
      </c>
      <c r="B31" s="1002" t="s">
        <v>582</v>
      </c>
      <c r="C31" s="1007">
        <v>29.892641794985874</v>
      </c>
      <c r="D31" s="1007">
        <v>31.166188008979844</v>
      </c>
      <c r="E31" s="1007">
        <v>145.44108311881516</v>
      </c>
      <c r="F31" s="1007">
        <v>0</v>
      </c>
      <c r="G31" s="1007">
        <v>37.114069365572242</v>
      </c>
      <c r="H31" s="741"/>
    </row>
    <row r="32" spans="1:8">
      <c r="A32" s="1001">
        <v>5</v>
      </c>
      <c r="B32" s="1002" t="s">
        <v>583</v>
      </c>
      <c r="C32" s="1007">
        <v>88880.93</v>
      </c>
      <c r="D32" s="1007">
        <v>10588.91</v>
      </c>
      <c r="E32" s="1007">
        <v>14174.69</v>
      </c>
      <c r="F32" s="1007">
        <v>48855.02</v>
      </c>
      <c r="G32" s="1008">
        <v>162499.54999999999</v>
      </c>
      <c r="H32" s="741"/>
    </row>
    <row r="33" spans="1:8">
      <c r="A33" s="1001"/>
      <c r="B33" s="1002" t="s">
        <v>584</v>
      </c>
      <c r="C33" s="1007">
        <v>28.192012621566469</v>
      </c>
      <c r="D33" s="1007">
        <v>62.178162590025224</v>
      </c>
      <c r="E33" s="1007">
        <v>47.443897828210176</v>
      </c>
      <c r="F33" s="1007">
        <v>85.470838194698473</v>
      </c>
      <c r="G33" s="1007">
        <v>38.751591025497753</v>
      </c>
      <c r="H33" s="741"/>
    </row>
    <row r="34" spans="1:8">
      <c r="A34" s="1001">
        <v>6</v>
      </c>
      <c r="B34" s="1002" t="s">
        <v>585</v>
      </c>
      <c r="C34" s="1056">
        <v>15979.04</v>
      </c>
      <c r="D34" s="1057">
        <v>2681.63</v>
      </c>
      <c r="E34" s="1057">
        <v>9012.52</v>
      </c>
      <c r="F34" s="1057">
        <v>47158</v>
      </c>
      <c r="G34" s="1008">
        <v>74831.19</v>
      </c>
      <c r="H34" s="741"/>
    </row>
    <row r="35" spans="1:8">
      <c r="A35" s="1001"/>
      <c r="B35" s="1002" t="s">
        <v>586</v>
      </c>
      <c r="C35" s="1007">
        <v>5.0683684043418031</v>
      </c>
      <c r="D35" s="1007">
        <v>15.746552397394003</v>
      </c>
      <c r="E35" s="1007">
        <v>30.165674032709056</v>
      </c>
      <c r="F35" s="1007">
        <v>82.501937110773696</v>
      </c>
      <c r="G35" s="1007">
        <v>17.845142776280412</v>
      </c>
      <c r="H35" s="741"/>
    </row>
    <row r="36" spans="1:8">
      <c r="A36" s="1001">
        <v>7</v>
      </c>
      <c r="B36" s="1002" t="s">
        <v>587</v>
      </c>
      <c r="C36" s="1058">
        <v>12894.18</v>
      </c>
      <c r="D36" s="1058">
        <v>242.11</v>
      </c>
      <c r="E36" s="1058">
        <v>333.14</v>
      </c>
      <c r="F36" s="1058">
        <v>1697.02</v>
      </c>
      <c r="G36" s="1008">
        <v>15166.45</v>
      </c>
      <c r="H36" s="741"/>
    </row>
    <row r="37" spans="1:8">
      <c r="A37" s="1001"/>
      <c r="B37" s="1002" t="s">
        <v>586</v>
      </c>
      <c r="C37" s="1007">
        <v>4.0898861578602963</v>
      </c>
      <c r="D37" s="1007">
        <v>1.4216718193535507</v>
      </c>
      <c r="E37" s="1007">
        <v>1.1150480273282828</v>
      </c>
      <c r="F37" s="1007">
        <v>2.9689010839247887</v>
      </c>
      <c r="G37" s="1007">
        <v>3.6167735092722442</v>
      </c>
      <c r="H37" s="741"/>
    </row>
    <row r="38" spans="1:8">
      <c r="A38" s="1001">
        <v>8</v>
      </c>
      <c r="B38" s="1002" t="s">
        <v>588</v>
      </c>
      <c r="C38" s="1059">
        <v>60007.71</v>
      </c>
      <c r="D38" s="1059">
        <v>7665.17</v>
      </c>
      <c r="E38" s="1059">
        <v>4829.03</v>
      </c>
      <c r="F38" s="1059">
        <v>0</v>
      </c>
      <c r="G38" s="1008">
        <v>72501.91</v>
      </c>
      <c r="H38" s="741"/>
    </row>
    <row r="39" spans="1:8">
      <c r="A39" s="1001"/>
      <c r="B39" s="1002" t="s">
        <v>586</v>
      </c>
      <c r="C39" s="1007">
        <v>19.033758059364374</v>
      </c>
      <c r="D39" s="1007">
        <v>45.009938373277663</v>
      </c>
      <c r="E39" s="1007">
        <v>16.163175768172831</v>
      </c>
      <c r="F39" s="1007">
        <v>0</v>
      </c>
      <c r="G39" s="1007">
        <v>17.289674739945102</v>
      </c>
      <c r="H39" s="741"/>
    </row>
    <row r="40" spans="1:8">
      <c r="A40" s="1001">
        <v>9</v>
      </c>
      <c r="B40" s="1002" t="s">
        <v>589</v>
      </c>
      <c r="C40" s="1057">
        <v>29.17</v>
      </c>
      <c r="D40" s="1060">
        <v>61.61</v>
      </c>
      <c r="E40" s="1060">
        <v>31.31</v>
      </c>
      <c r="F40" s="1061">
        <v>0</v>
      </c>
      <c r="G40" s="1060">
        <v>32.619999999999997</v>
      </c>
      <c r="H40" s="741"/>
    </row>
    <row r="41" spans="1:8">
      <c r="A41" s="1001"/>
      <c r="B41" s="1002" t="s">
        <v>583</v>
      </c>
      <c r="C41" s="1057"/>
      <c r="D41" s="1060"/>
      <c r="E41" s="1060"/>
      <c r="F41" s="1061"/>
      <c r="G41" s="1060"/>
      <c r="H41" s="741"/>
    </row>
    <row r="42" spans="1:8">
      <c r="A42" s="1001">
        <v>10</v>
      </c>
      <c r="B42" s="1002" t="s">
        <v>590</v>
      </c>
      <c r="C42" s="1060">
        <v>70.83</v>
      </c>
      <c r="D42" s="1060">
        <v>40</v>
      </c>
      <c r="E42" s="1060">
        <v>68.69</v>
      </c>
      <c r="F42" s="1060">
        <v>0</v>
      </c>
      <c r="G42" s="1060">
        <v>67.56</v>
      </c>
      <c r="H42" s="741"/>
    </row>
    <row r="43" spans="1:8">
      <c r="A43" s="1001"/>
      <c r="B43" s="1002" t="s">
        <v>591</v>
      </c>
      <c r="C43" s="1062"/>
      <c r="D43" s="1062"/>
      <c r="E43" s="1062"/>
      <c r="F43" s="1062"/>
      <c r="G43" s="1062"/>
      <c r="H43" s="741"/>
    </row>
    <row r="44" spans="1:8">
      <c r="A44" s="741"/>
      <c r="B44" s="741"/>
      <c r="C44" s="741"/>
      <c r="D44" s="741"/>
      <c r="E44" s="741"/>
      <c r="F44" s="741"/>
      <c r="G44" s="741"/>
      <c r="H44" s="741"/>
    </row>
    <row r="45" spans="1:8">
      <c r="A45" s="1063" t="s">
        <v>599</v>
      </c>
      <c r="B45" s="1445" t="s">
        <v>600</v>
      </c>
      <c r="C45" s="1445"/>
      <c r="D45" s="1445"/>
      <c r="E45" s="1445"/>
      <c r="F45" s="1445"/>
      <c r="G45" s="1445"/>
      <c r="H45" s="1445"/>
    </row>
    <row r="46" spans="1:8">
      <c r="A46" s="1064"/>
      <c r="B46" s="1444" t="s">
        <v>601</v>
      </c>
      <c r="C46" s="1444"/>
      <c r="D46" s="1444"/>
      <c r="E46" s="1444"/>
      <c r="F46" s="1444"/>
      <c r="G46" s="1444"/>
      <c r="H46" s="1444"/>
    </row>
  </sheetData>
  <mergeCells count="6">
    <mergeCell ref="B46:H46"/>
    <mergeCell ref="A1:G1"/>
    <mergeCell ref="A4:G4"/>
    <mergeCell ref="A23:E23"/>
    <mergeCell ref="C25:E25"/>
    <mergeCell ref="B45:H45"/>
  </mergeCells>
  <printOptions gridLines="1"/>
  <pageMargins left="0.7" right="0.7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Contents</vt:lpstr>
      <vt:lpstr>Contents 1</vt:lpstr>
      <vt:lpstr>POPULATION PATTERN</vt:lpstr>
      <vt:lpstr>ECONOMIC INDICATOR</vt:lpstr>
      <vt:lpstr>ABBR</vt:lpstr>
      <vt:lpstr>BR Network</vt:lpstr>
      <vt:lpstr>State Achievement</vt:lpstr>
      <vt:lpstr>Profile</vt:lpstr>
      <vt:lpstr>Profile 1</vt:lpstr>
      <vt:lpstr>DIST CDR March</vt:lpstr>
      <vt:lpstr>BUSINESS 1</vt:lpstr>
      <vt:lpstr>Segr of Adv 1</vt:lpstr>
      <vt:lpstr>TOTAL PRIORITY 1</vt:lpstr>
      <vt:lpstr>CROP 1</vt:lpstr>
      <vt:lpstr>AGRI-SUB 1</vt:lpstr>
      <vt:lpstr>AGRI 1</vt:lpstr>
      <vt:lpstr>INDSTRY 1</vt:lpstr>
      <vt:lpstr>SERV 1</vt:lpstr>
      <vt:lpstr>Sensitive 1</vt:lpstr>
      <vt:lpstr>Minority 1</vt:lpstr>
      <vt:lpstr>KCC 1</vt:lpstr>
      <vt:lpstr>MSME 1</vt:lpstr>
      <vt:lpstr>Housing 1</vt:lpstr>
      <vt:lpstr>Education 1</vt:lpstr>
      <vt:lpstr>TR-OP 1</vt:lpstr>
      <vt:lpstr>Tea 1</vt:lpstr>
      <vt:lpstr>SHG 1</vt:lpstr>
      <vt:lpstr>NOFRILL-GCC 1</vt:lpstr>
      <vt:lpstr>PMEGP 1</vt:lpstr>
      <vt:lpstr>PMEGP-KVIC REC 1</vt:lpstr>
      <vt:lpstr>WCC 1</vt:lpstr>
      <vt:lpstr>SJSRY 1</vt:lpstr>
      <vt:lpstr>SGSY-SJSRY REC 1</vt:lpstr>
      <vt:lpstr>OTS-JRD 1</vt:lpstr>
      <vt:lpstr>Bakijai 1</vt:lpstr>
      <vt:lpstr>ACP 1</vt:lpstr>
      <vt:lpstr>DIST CDR</vt:lpstr>
      <vt:lpstr>Business</vt:lpstr>
      <vt:lpstr>SEGR of ADV</vt:lpstr>
      <vt:lpstr>TOTAL Priority</vt:lpstr>
      <vt:lpstr>CROP LOAN</vt:lpstr>
      <vt:lpstr>AGRI-SUB</vt:lpstr>
      <vt:lpstr>AGRI</vt:lpstr>
      <vt:lpstr>INDSTRY</vt:lpstr>
      <vt:lpstr>SERV</vt:lpstr>
      <vt:lpstr>Sensitive</vt:lpstr>
      <vt:lpstr>Minority</vt:lpstr>
      <vt:lpstr>KCC</vt:lpstr>
      <vt:lpstr>MSME</vt:lpstr>
      <vt:lpstr>Housing</vt:lpstr>
      <vt:lpstr>EDUCATION</vt:lpstr>
      <vt:lpstr>TR-OP</vt:lpstr>
      <vt:lpstr>TEA</vt:lpstr>
      <vt:lpstr>SHG</vt:lpstr>
      <vt:lpstr>NOFRILL-GCC</vt:lpstr>
      <vt:lpstr>PMEGP</vt:lpstr>
      <vt:lpstr>PMEGP-KVIC REC</vt:lpstr>
      <vt:lpstr>WCC</vt:lpstr>
      <vt:lpstr>SJSRY</vt:lpstr>
      <vt:lpstr>SGSY-SJSRY REC</vt:lpstr>
      <vt:lpstr>OTS-JRD</vt:lpstr>
      <vt:lpstr>Bakijai</vt:lpstr>
      <vt:lpstr>PERFORMANCE UNDER ACP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minakshri</dc:creator>
  <cp:lastModifiedBy>RBO</cp:lastModifiedBy>
  <cp:lastPrinted>2018-10-10T14:11:21Z</cp:lastPrinted>
  <dcterms:created xsi:type="dcterms:W3CDTF">2018-08-06T10:01:30Z</dcterms:created>
  <dcterms:modified xsi:type="dcterms:W3CDTF">2018-10-11T11:50:19Z</dcterms:modified>
</cp:coreProperties>
</file>